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6"/>
  <workbookPr/>
  <mc:AlternateContent xmlns:mc="http://schemas.openxmlformats.org/markup-compatibility/2006">
    <mc:Choice Requires="x15">
      <x15ac:absPath xmlns:x15ac="http://schemas.microsoft.com/office/spreadsheetml/2010/11/ac" url="C:\GitHub\website\public\templates\"/>
    </mc:Choice>
  </mc:AlternateContent>
  <xr:revisionPtr revIDLastSave="0" documentId="13_ncr:1_{2784DEB3-BB1E-4963-9623-89EE3F56D209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Matchs" sheetId="1" r:id="rId1"/>
    <sheet name="Classement par poule" sheetId="2" r:id="rId2"/>
    <sheet name="Phase finale" sheetId="3" r:id="rId3"/>
    <sheet name="Aux" sheetId="4" state="hidden" r:id="rId4"/>
    <sheet name="Calc" sheetId="5" state="hidden" r:id="rId5"/>
  </sheets>
  <definedNames>
    <definedName name="gA_bp">'Classement par poule'!$F$5:$F$8</definedName>
    <definedName name="gA_clt">'Classement par poule'!$J$5:$J$8</definedName>
    <definedName name="gA_db">'Classement par poule'!$H$5:$H$8</definedName>
    <definedName name="gA_names">'Classement par poule'!$A$5:$A$8</definedName>
    <definedName name="gA_pts">'Classement par poule'!$I$5:$I$8</definedName>
    <definedName name="gB_bp">'Classement par poule'!$Q$5:$Q$8</definedName>
    <definedName name="gB_clt">'Classement par poule'!$U$5:$U$8</definedName>
    <definedName name="gB_db">'Classement par poule'!$S$5:$S$8</definedName>
    <definedName name="gB_names">'Classement par poule'!$L$5:$L$8</definedName>
    <definedName name="gB_pts">'Classement par poule'!$T$5:$T$8</definedName>
    <definedName name="gC_bp">'Classement par poule'!$AB$5:$AB$8</definedName>
    <definedName name="gC_clt">'Classement par poule'!$AF$5:$AF$8</definedName>
    <definedName name="gC_db">'Classement par poule'!$AD$5:$AD$8</definedName>
    <definedName name="gC_names">'Classement par poule'!$W$5:$W$8</definedName>
    <definedName name="gC_pts">'Classement par poule'!$AE$5:$AE$8</definedName>
    <definedName name="gD_bp">'Classement par poule'!$F$13:$F$16</definedName>
    <definedName name="gD_clt">'Classement par poule'!$J$13:$J$16</definedName>
    <definedName name="gD_db">'Classement par poule'!$H$13:$H$16</definedName>
    <definedName name="gD_names">'Classement par poule'!$A$13:$A$16</definedName>
    <definedName name="gD_pts">'Classement par poule'!$I$13:$I$16</definedName>
    <definedName name="gE_bp">'Classement par poule'!$Q$13:$Q$16</definedName>
    <definedName name="gE_clt">'Classement par poule'!$U$13:$U$16</definedName>
    <definedName name="gE_db">'Classement par poule'!$S$13:$S$16</definedName>
    <definedName name="gE_names">'Classement par poule'!$L$13:$L$16</definedName>
    <definedName name="gE_pts">'Classement par poule'!$T$13:$T$16</definedName>
    <definedName name="gF_bp">'Classement par poule'!$AB$13:$AB$16</definedName>
    <definedName name="gF_clt">'Classement par poule'!$AF$13:$AF$16</definedName>
    <definedName name="gF_db">'Classement par poule'!$AD$13:$AD$16</definedName>
    <definedName name="gF_names">'Classement par poule'!$W$13:$W$16</definedName>
    <definedName name="gF_pts">'Classement par poule'!$AE$13:$AE$16</definedName>
    <definedName name="gG_bp">'Classement par poule'!$F$21:$F$24</definedName>
    <definedName name="gG_clt">'Classement par poule'!$J$21:$J$24</definedName>
    <definedName name="gG_db">'Classement par poule'!$H$21:$H$24</definedName>
    <definedName name="gG_names">'Classement par poule'!$A$21:$A$24</definedName>
    <definedName name="gG_pts">'Classement par poule'!$I$21:$I$24</definedName>
    <definedName name="gH_bp">'Classement par poule'!$Q$21:$Q$24</definedName>
    <definedName name="gH_clt">'Classement par poule'!$U$21:$U$24</definedName>
    <definedName name="gH_db">'Classement par poule'!$S$21:$S$24</definedName>
    <definedName name="gH_names">'Classement par poule'!$L$21:$L$24</definedName>
    <definedName name="gH_pts">'Classement par poule'!$T$21:$T$24</definedName>
    <definedName name="gI_bp">'Classement par poule'!$AB$21:$AB$24</definedName>
    <definedName name="gI_clt">'Classement par poule'!$AF$21:$AF$24</definedName>
    <definedName name="gI_db">'Classement par poule'!$AD$21:$AD$24</definedName>
    <definedName name="gI_names">'Classement par poule'!$W$21:$W$24</definedName>
    <definedName name="gI_pts">'Classement par poule'!$AE$21:$AE$24</definedName>
    <definedName name="gJ_bp">'Classement par poule'!$F$29:$F$32</definedName>
    <definedName name="gJ_clt">'Classement par poule'!$J$29:$J$32</definedName>
    <definedName name="gJ_db">'Classement par poule'!$H$29:$H$32</definedName>
    <definedName name="gJ_names">'Classement par poule'!$A$29:$A$32</definedName>
    <definedName name="gJ_pts">'Classement par poule'!$I$29:$I$32</definedName>
    <definedName name="gK_bp">'Classement par poule'!$Q$29:$Q$32</definedName>
    <definedName name="gK_clt">'Classement par poule'!$U$29:$U$32</definedName>
    <definedName name="gK_db">'Classement par poule'!$S$29:$S$32</definedName>
    <definedName name="gK_names">'Classement par poule'!$L$29:$L$32</definedName>
    <definedName name="gK_pts">'Classement par poule'!$T$29:$T$32</definedName>
    <definedName name="gL_bp">'Classement par poule'!$AB$29:$AB$32</definedName>
    <definedName name="gL_clt">'Classement par poule'!$AF$29:$AF$32</definedName>
    <definedName name="gL_db">'Classement par poule'!$AD$29:$AD$32</definedName>
    <definedName name="gL_names">'Classement par poule'!$W$29:$W$32</definedName>
    <definedName name="gL_pts">'Classement par poule'!$AE$29:$AE$32</definedName>
    <definedName name="third_letters">'Classement par poule'!$A$38:$A$49</definedName>
    <definedName name="third_rank">'Classement par poule'!$F$38:$F$49</definedName>
    <definedName name="third_teams">'Classement par poule'!$B$38:$B$49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4" i="5" l="1"/>
  <c r="B34" i="5"/>
  <c r="C33" i="5"/>
  <c r="B33" i="5"/>
  <c r="C32" i="5"/>
  <c r="R53" i="3" s="1"/>
  <c r="B32" i="5"/>
  <c r="R33" i="3" s="1"/>
  <c r="C31" i="5"/>
  <c r="R52" i="3" s="1"/>
  <c r="B31" i="5"/>
  <c r="R32" i="3" s="1"/>
  <c r="C30" i="5"/>
  <c r="B30" i="5"/>
  <c r="V33" i="3" s="1"/>
  <c r="C29" i="5"/>
  <c r="B29" i="5"/>
  <c r="V32" i="3" s="1"/>
  <c r="C28" i="5"/>
  <c r="B28" i="5"/>
  <c r="N33" i="3" s="1"/>
  <c r="C27" i="5"/>
  <c r="B27" i="5"/>
  <c r="N32" i="3" s="1"/>
  <c r="C26" i="5"/>
  <c r="B26" i="5"/>
  <c r="Z41" i="3" s="1"/>
  <c r="C25" i="5"/>
  <c r="B25" i="5"/>
  <c r="Z40" i="3" s="1"/>
  <c r="C24" i="5"/>
  <c r="B24" i="5"/>
  <c r="J41" i="3" s="1"/>
  <c r="C23" i="5"/>
  <c r="B23" i="5"/>
  <c r="J40" i="3" s="1"/>
  <c r="C22" i="5"/>
  <c r="B22" i="5"/>
  <c r="Z25" i="3" s="1"/>
  <c r="C21" i="5"/>
  <c r="B21" i="5"/>
  <c r="Z24" i="3" s="1"/>
  <c r="C20" i="5"/>
  <c r="B20" i="5"/>
  <c r="J25" i="3" s="1"/>
  <c r="C19" i="5"/>
  <c r="B19" i="5"/>
  <c r="J24" i="3" s="1"/>
  <c r="C18" i="5"/>
  <c r="B18" i="5"/>
  <c r="AD37" i="3" s="1"/>
  <c r="C17" i="5"/>
  <c r="B17" i="5"/>
  <c r="AD45" i="3" s="1"/>
  <c r="C16" i="5"/>
  <c r="B16" i="5"/>
  <c r="AD36" i="3" s="1"/>
  <c r="C15" i="5"/>
  <c r="B15" i="5"/>
  <c r="AD44" i="3" s="1"/>
  <c r="C14" i="5"/>
  <c r="B14" i="5"/>
  <c r="F37" i="3" s="1"/>
  <c r="C13" i="5"/>
  <c r="B13" i="5"/>
  <c r="F36" i="3" s="1"/>
  <c r="C12" i="5"/>
  <c r="B12" i="5"/>
  <c r="F45" i="3" s="1"/>
  <c r="C11" i="5"/>
  <c r="B11" i="5"/>
  <c r="F44" i="3" s="1"/>
  <c r="C10" i="5"/>
  <c r="B10" i="5"/>
  <c r="AD29" i="3" s="1"/>
  <c r="C9" i="5"/>
  <c r="B9" i="5"/>
  <c r="AD28" i="3" s="1"/>
  <c r="C8" i="5"/>
  <c r="B8" i="5"/>
  <c r="AD21" i="3" s="1"/>
  <c r="C7" i="5"/>
  <c r="B7" i="5"/>
  <c r="F21" i="3" s="1"/>
  <c r="C6" i="5"/>
  <c r="B6" i="5"/>
  <c r="AD20" i="3" s="1"/>
  <c r="C5" i="5"/>
  <c r="B5" i="5"/>
  <c r="F29" i="3" s="1"/>
  <c r="C4" i="5"/>
  <c r="B4" i="5"/>
  <c r="F20" i="3" s="1"/>
  <c r="C3" i="5"/>
  <c r="B3" i="5"/>
  <c r="F28" i="3" s="1"/>
  <c r="E13" i="3"/>
  <c r="D13" i="3"/>
  <c r="AH47" i="3" s="1"/>
  <c r="E12" i="3"/>
  <c r="D12" i="3"/>
  <c r="AH43" i="3" s="1"/>
  <c r="E11" i="3"/>
  <c r="D11" i="3"/>
  <c r="B47" i="3" s="1"/>
  <c r="E10" i="3"/>
  <c r="D10" i="3"/>
  <c r="B43" i="3" s="1"/>
  <c r="E9" i="3"/>
  <c r="D9" i="3"/>
  <c r="AH31" i="3" s="1"/>
  <c r="E8" i="3"/>
  <c r="D8" i="3"/>
  <c r="AH27" i="3" s="1"/>
  <c r="E7" i="3"/>
  <c r="D7" i="3"/>
  <c r="B23" i="3" s="1"/>
  <c r="E6" i="3"/>
  <c r="D6" i="3"/>
  <c r="B19" i="3" s="1"/>
  <c r="R32" i="2"/>
  <c r="Q32" i="2"/>
  <c r="S32" i="2" s="1"/>
  <c r="P32" i="2"/>
  <c r="O32" i="2"/>
  <c r="N32" i="2"/>
  <c r="G32" i="2"/>
  <c r="F32" i="2"/>
  <c r="E32" i="2"/>
  <c r="D32" i="2"/>
  <c r="C32" i="2"/>
  <c r="R31" i="2"/>
  <c r="Q31" i="2"/>
  <c r="P31" i="2"/>
  <c r="O31" i="2"/>
  <c r="N31" i="2"/>
  <c r="G31" i="2"/>
  <c r="F31" i="2"/>
  <c r="E31" i="2"/>
  <c r="D31" i="2"/>
  <c r="C31" i="2"/>
  <c r="R30" i="2"/>
  <c r="Q30" i="2"/>
  <c r="S30" i="2" s="1"/>
  <c r="P30" i="2"/>
  <c r="O30" i="2"/>
  <c r="N30" i="2"/>
  <c r="G30" i="2"/>
  <c r="F30" i="2"/>
  <c r="H30" i="2" s="1"/>
  <c r="E30" i="2"/>
  <c r="D30" i="2"/>
  <c r="C30" i="2"/>
  <c r="R29" i="2"/>
  <c r="Q29" i="2"/>
  <c r="P29" i="2"/>
  <c r="O29" i="2"/>
  <c r="N29" i="2"/>
  <c r="G29" i="2"/>
  <c r="F29" i="2"/>
  <c r="E29" i="2"/>
  <c r="D29" i="2"/>
  <c r="C29" i="2"/>
  <c r="AC24" i="2"/>
  <c r="AB24" i="2"/>
  <c r="AD24" i="2" s="1"/>
  <c r="AA24" i="2"/>
  <c r="Z24" i="2"/>
  <c r="Y24" i="2"/>
  <c r="R24" i="2"/>
  <c r="Q24" i="2"/>
  <c r="P24" i="2"/>
  <c r="O24" i="2"/>
  <c r="N24" i="2"/>
  <c r="G24" i="2"/>
  <c r="F24" i="2"/>
  <c r="H24" i="2" s="1"/>
  <c r="E24" i="2"/>
  <c r="D24" i="2"/>
  <c r="C24" i="2"/>
  <c r="I24" i="2" s="1"/>
  <c r="AC23" i="2"/>
  <c r="AB23" i="2"/>
  <c r="AA23" i="2"/>
  <c r="Z23" i="2"/>
  <c r="Y23" i="2"/>
  <c r="R23" i="2"/>
  <c r="Q23" i="2"/>
  <c r="P23" i="2"/>
  <c r="O23" i="2"/>
  <c r="N23" i="2"/>
  <c r="G23" i="2"/>
  <c r="F23" i="2"/>
  <c r="H23" i="2" s="1"/>
  <c r="E23" i="2"/>
  <c r="D23" i="2"/>
  <c r="C23" i="2"/>
  <c r="AC22" i="2"/>
  <c r="AB22" i="2"/>
  <c r="AA22" i="2"/>
  <c r="Z22" i="2"/>
  <c r="Y22" i="2"/>
  <c r="R22" i="2"/>
  <c r="Q22" i="2"/>
  <c r="P22" i="2"/>
  <c r="O22" i="2"/>
  <c r="N22" i="2"/>
  <c r="G22" i="2"/>
  <c r="F22" i="2"/>
  <c r="H22" i="2" s="1"/>
  <c r="E22" i="2"/>
  <c r="D22" i="2"/>
  <c r="C22" i="2"/>
  <c r="AC21" i="2"/>
  <c r="AB21" i="2"/>
  <c r="AA21" i="2"/>
  <c r="Z21" i="2"/>
  <c r="Y21" i="2"/>
  <c r="R21" i="2"/>
  <c r="Q21" i="2"/>
  <c r="P21" i="2"/>
  <c r="O21" i="2"/>
  <c r="N21" i="2"/>
  <c r="G21" i="2"/>
  <c r="F21" i="2"/>
  <c r="H21" i="2" s="1"/>
  <c r="E21" i="2"/>
  <c r="D21" i="2"/>
  <c r="C21" i="2"/>
  <c r="R16" i="2"/>
  <c r="Q16" i="2"/>
  <c r="P16" i="2"/>
  <c r="O16" i="2"/>
  <c r="N16" i="2"/>
  <c r="G16" i="2"/>
  <c r="F16" i="2"/>
  <c r="H16" i="2" s="1"/>
  <c r="E16" i="2"/>
  <c r="D16" i="2"/>
  <c r="C16" i="2"/>
  <c r="R15" i="2"/>
  <c r="Q15" i="2"/>
  <c r="S15" i="2" s="1"/>
  <c r="P15" i="2"/>
  <c r="O15" i="2"/>
  <c r="N15" i="2"/>
  <c r="G15" i="2"/>
  <c r="F15" i="2"/>
  <c r="E15" i="2"/>
  <c r="D15" i="2"/>
  <c r="C15" i="2"/>
  <c r="R14" i="2"/>
  <c r="Q14" i="2"/>
  <c r="S14" i="2" s="1"/>
  <c r="P14" i="2"/>
  <c r="O14" i="2"/>
  <c r="N14" i="2"/>
  <c r="G14" i="2"/>
  <c r="F14" i="2"/>
  <c r="E14" i="2"/>
  <c r="D14" i="2"/>
  <c r="C14" i="2"/>
  <c r="R13" i="2"/>
  <c r="Q13" i="2"/>
  <c r="P13" i="2"/>
  <c r="O13" i="2"/>
  <c r="N13" i="2"/>
  <c r="G13" i="2"/>
  <c r="F13" i="2"/>
  <c r="H13" i="2" s="1"/>
  <c r="E13" i="2"/>
  <c r="D13" i="2"/>
  <c r="C13" i="2"/>
  <c r="AC8" i="2"/>
  <c r="AB8" i="2"/>
  <c r="AD8" i="2" s="1"/>
  <c r="AA8" i="2"/>
  <c r="Z8" i="2"/>
  <c r="Y8" i="2"/>
  <c r="R8" i="2"/>
  <c r="Q8" i="2"/>
  <c r="P8" i="2"/>
  <c r="O8" i="2"/>
  <c r="N8" i="2"/>
  <c r="G8" i="2"/>
  <c r="F8" i="2"/>
  <c r="E8" i="2"/>
  <c r="D8" i="2"/>
  <c r="C8" i="2"/>
  <c r="AC7" i="2"/>
  <c r="AB7" i="2"/>
  <c r="AA7" i="2"/>
  <c r="Z7" i="2"/>
  <c r="Y7" i="2"/>
  <c r="R7" i="2"/>
  <c r="Q7" i="2"/>
  <c r="S7" i="2" s="1"/>
  <c r="P7" i="2"/>
  <c r="O7" i="2"/>
  <c r="N7" i="2"/>
  <c r="G7" i="2"/>
  <c r="F7" i="2"/>
  <c r="H7" i="2" s="1"/>
  <c r="E7" i="2"/>
  <c r="D7" i="2"/>
  <c r="C7" i="2"/>
  <c r="I7" i="2" s="1"/>
  <c r="AC6" i="2"/>
  <c r="AB6" i="2"/>
  <c r="AD6" i="2" s="1"/>
  <c r="AA6" i="2"/>
  <c r="Z6" i="2"/>
  <c r="Y6" i="2"/>
  <c r="R6" i="2"/>
  <c r="Q6" i="2"/>
  <c r="P6" i="2"/>
  <c r="O6" i="2"/>
  <c r="N6" i="2"/>
  <c r="G6" i="2"/>
  <c r="F6" i="2"/>
  <c r="H6" i="2" s="1"/>
  <c r="E6" i="2"/>
  <c r="D6" i="2"/>
  <c r="C6" i="2"/>
  <c r="AC5" i="2"/>
  <c r="AB5" i="2"/>
  <c r="AA5" i="2"/>
  <c r="Z5" i="2"/>
  <c r="Y5" i="2"/>
  <c r="R5" i="2"/>
  <c r="Q5" i="2"/>
  <c r="P5" i="2"/>
  <c r="O5" i="2"/>
  <c r="N5" i="2"/>
  <c r="G5" i="2"/>
  <c r="F5" i="2"/>
  <c r="H5" i="2" s="1"/>
  <c r="E5" i="2"/>
  <c r="D5" i="2"/>
  <c r="C5" i="2"/>
  <c r="A4" i="4" l="1"/>
  <c r="S5" i="2"/>
  <c r="H29" i="2"/>
  <c r="AD21" i="2"/>
  <c r="S16" i="2"/>
  <c r="H14" i="2"/>
  <c r="S8" i="2"/>
  <c r="H8" i="2"/>
  <c r="H32" i="2"/>
  <c r="S31" i="2"/>
  <c r="AD22" i="2"/>
  <c r="H31" i="2"/>
  <c r="S23" i="2"/>
  <c r="S29" i="2"/>
  <c r="B24" i="2"/>
  <c r="S21" i="2"/>
  <c r="S22" i="2"/>
  <c r="S24" i="2"/>
  <c r="AD23" i="2"/>
  <c r="H15" i="2"/>
  <c r="B7" i="2"/>
  <c r="AD5" i="2"/>
  <c r="S13" i="2"/>
  <c r="AD7" i="2"/>
  <c r="S6" i="2"/>
  <c r="AE6" i="2"/>
  <c r="C3" i="4" s="1"/>
  <c r="X6" i="2"/>
  <c r="M32" i="2"/>
  <c r="T32" i="2"/>
  <c r="K5" i="4" s="1"/>
  <c r="I32" i="2"/>
  <c r="J5" i="4" s="1"/>
  <c r="B32" i="2"/>
  <c r="T31" i="2"/>
  <c r="K4" i="4" s="1"/>
  <c r="M31" i="2"/>
  <c r="B31" i="2"/>
  <c r="I31" i="2"/>
  <c r="J4" i="4" s="1"/>
  <c r="M30" i="2"/>
  <c r="T30" i="2"/>
  <c r="K3" i="4" s="1"/>
  <c r="B30" i="2"/>
  <c r="I30" i="2"/>
  <c r="J3" i="4" s="1"/>
  <c r="M29" i="2"/>
  <c r="T29" i="2"/>
  <c r="K2" i="4" s="1"/>
  <c r="I29" i="2"/>
  <c r="B29" i="2"/>
  <c r="AE24" i="2"/>
  <c r="I5" i="4" s="1"/>
  <c r="X24" i="2"/>
  <c r="T24" i="2"/>
  <c r="H5" i="4" s="1"/>
  <c r="M24" i="2"/>
  <c r="AE23" i="2"/>
  <c r="I4" i="4" s="1"/>
  <c r="X23" i="2"/>
  <c r="T23" i="2"/>
  <c r="H4" i="4" s="1"/>
  <c r="M23" i="2"/>
  <c r="B23" i="2"/>
  <c r="I23" i="2"/>
  <c r="G4" i="4" s="1"/>
  <c r="AE22" i="2"/>
  <c r="I3" i="4" s="1"/>
  <c r="X22" i="2"/>
  <c r="T22" i="2"/>
  <c r="M22" i="2"/>
  <c r="B22" i="2"/>
  <c r="I22" i="2"/>
  <c r="G3" i="4" s="1"/>
  <c r="AE21" i="2"/>
  <c r="X21" i="2"/>
  <c r="T21" i="2"/>
  <c r="M21" i="2"/>
  <c r="I21" i="2"/>
  <c r="G2" i="4" s="1"/>
  <c r="B21" i="2"/>
  <c r="M16" i="2"/>
  <c r="T16" i="2"/>
  <c r="B16" i="2"/>
  <c r="I16" i="2"/>
  <c r="D5" i="4" s="1"/>
  <c r="M15" i="2"/>
  <c r="T15" i="2"/>
  <c r="E4" i="4" s="1"/>
  <c r="I15" i="2"/>
  <c r="B15" i="2"/>
  <c r="M14" i="2"/>
  <c r="T14" i="2"/>
  <c r="E3" i="4" s="1"/>
  <c r="I14" i="2"/>
  <c r="B14" i="2"/>
  <c r="M13" i="2"/>
  <c r="T13" i="2"/>
  <c r="I13" i="2"/>
  <c r="D2" i="4" s="1"/>
  <c r="B13" i="2"/>
  <c r="X8" i="2"/>
  <c r="AE8" i="2"/>
  <c r="C5" i="4" s="1"/>
  <c r="M8" i="2"/>
  <c r="T8" i="2"/>
  <c r="I8" i="2"/>
  <c r="B8" i="2"/>
  <c r="X7" i="2"/>
  <c r="AE7" i="2"/>
  <c r="T7" i="2"/>
  <c r="B4" i="4" s="1"/>
  <c r="M7" i="2"/>
  <c r="T6" i="2"/>
  <c r="M6" i="2"/>
  <c r="I6" i="2"/>
  <c r="A3" i="4" s="1"/>
  <c r="B6" i="2"/>
  <c r="AE5" i="2"/>
  <c r="X5" i="2"/>
  <c r="T5" i="2"/>
  <c r="M5" i="2"/>
  <c r="I5" i="2"/>
  <c r="A2" i="4" s="1"/>
  <c r="B5" i="2"/>
  <c r="AA31" i="2"/>
  <c r="AC32" i="2"/>
  <c r="Y29" i="2"/>
  <c r="AA29" i="2"/>
  <c r="AC29" i="2"/>
  <c r="AA30" i="2"/>
  <c r="AB32" i="2"/>
  <c r="AA32" i="2"/>
  <c r="Z31" i="2"/>
  <c r="Y32" i="2"/>
  <c r="AB30" i="2"/>
  <c r="Y31" i="2"/>
  <c r="Z29" i="2"/>
  <c r="AB31" i="2"/>
  <c r="AB29" i="2"/>
  <c r="AD29" i="2" s="1"/>
  <c r="Z30" i="2"/>
  <c r="AC31" i="2"/>
  <c r="Z32" i="2"/>
  <c r="Y30" i="2"/>
  <c r="AC30" i="2"/>
  <c r="AA15" i="2"/>
  <c r="AB14" i="2"/>
  <c r="Z14" i="2"/>
  <c r="AA16" i="2"/>
  <c r="AB15" i="2"/>
  <c r="AC15" i="2"/>
  <c r="AC14" i="2"/>
  <c r="Y15" i="2"/>
  <c r="Z13" i="2"/>
  <c r="Z15" i="2"/>
  <c r="AA14" i="2"/>
  <c r="Z16" i="2"/>
  <c r="AA13" i="2"/>
  <c r="Y14" i="2"/>
  <c r="AC13" i="2"/>
  <c r="AB13" i="2"/>
  <c r="AD13" i="2" s="1"/>
  <c r="Y13" i="2"/>
  <c r="AC16" i="2"/>
  <c r="Y16" i="2"/>
  <c r="AB16" i="2"/>
  <c r="G5" i="4"/>
  <c r="J2" i="4" l="1"/>
  <c r="B2" i="4"/>
  <c r="AD32" i="2"/>
  <c r="H3" i="4"/>
  <c r="I2" i="4"/>
  <c r="H2" i="4"/>
  <c r="E5" i="4"/>
  <c r="D3" i="4"/>
  <c r="AD16" i="2"/>
  <c r="B5" i="4"/>
  <c r="A5" i="4"/>
  <c r="C4" i="4"/>
  <c r="B3" i="4"/>
  <c r="C2" i="4"/>
  <c r="AF8" i="2" s="1"/>
  <c r="AD31" i="2"/>
  <c r="E2" i="4"/>
  <c r="D4" i="4"/>
  <c r="AD15" i="2"/>
  <c r="U31" i="2"/>
  <c r="U32" i="2"/>
  <c r="U29" i="2"/>
  <c r="U30" i="2"/>
  <c r="J29" i="2"/>
  <c r="J31" i="2"/>
  <c r="J30" i="2"/>
  <c r="J32" i="2"/>
  <c r="AF24" i="2"/>
  <c r="AF23" i="2"/>
  <c r="AF21" i="2"/>
  <c r="AF22" i="2"/>
  <c r="U21" i="2"/>
  <c r="U23" i="2"/>
  <c r="U24" i="2"/>
  <c r="U22" i="2"/>
  <c r="J24" i="2"/>
  <c r="J21" i="2"/>
  <c r="J22" i="2"/>
  <c r="J23" i="2"/>
  <c r="AF5" i="2"/>
  <c r="AF7" i="2"/>
  <c r="AF6" i="2"/>
  <c r="U8" i="2"/>
  <c r="U7" i="2"/>
  <c r="U6" i="2"/>
  <c r="U5" i="2"/>
  <c r="J5" i="2"/>
  <c r="J6" i="2"/>
  <c r="J7" i="2"/>
  <c r="J8" i="2"/>
  <c r="X29" i="2"/>
  <c r="AE29" i="2"/>
  <c r="L2" i="4" s="1"/>
  <c r="X32" i="2"/>
  <c r="AE32" i="2"/>
  <c r="L5" i="4" s="1"/>
  <c r="AE31" i="2"/>
  <c r="X31" i="2"/>
  <c r="X30" i="2"/>
  <c r="AE30" i="2"/>
  <c r="X15" i="2"/>
  <c r="AE15" i="2"/>
  <c r="AE14" i="2"/>
  <c r="X14" i="2"/>
  <c r="AE13" i="2"/>
  <c r="F2" i="4" s="1"/>
  <c r="X13" i="2"/>
  <c r="X16" i="2"/>
  <c r="AE16" i="2"/>
  <c r="AD30" i="2"/>
  <c r="AD14" i="2"/>
  <c r="L4" i="4" l="1"/>
  <c r="F5" i="4"/>
  <c r="F4" i="4"/>
  <c r="U14" i="2"/>
  <c r="U15" i="2"/>
  <c r="U13" i="2"/>
  <c r="U16" i="2"/>
  <c r="J14" i="2"/>
  <c r="J15" i="2"/>
  <c r="J13" i="2"/>
  <c r="J16" i="2"/>
  <c r="B48" i="2"/>
  <c r="C48" i="2"/>
  <c r="E48" i="2"/>
  <c r="D48" i="2"/>
  <c r="AH46" i="3"/>
  <c r="B34" i="3"/>
  <c r="B39" i="3"/>
  <c r="B47" i="2"/>
  <c r="AH34" i="3"/>
  <c r="C47" i="2"/>
  <c r="D47" i="2"/>
  <c r="E47" i="2"/>
  <c r="C46" i="2"/>
  <c r="E46" i="2"/>
  <c r="B46" i="2"/>
  <c r="D46" i="2"/>
  <c r="AH23" i="3"/>
  <c r="B22" i="3"/>
  <c r="E45" i="2"/>
  <c r="B45" i="2"/>
  <c r="B38" i="3"/>
  <c r="D45" i="2"/>
  <c r="C45" i="2"/>
  <c r="AH35" i="3"/>
  <c r="E44" i="2"/>
  <c r="C44" i="2"/>
  <c r="B46" i="3"/>
  <c r="AH39" i="3"/>
  <c r="D44" i="2"/>
  <c r="B44" i="2"/>
  <c r="E40" i="2"/>
  <c r="B40" i="2"/>
  <c r="B31" i="3"/>
  <c r="D40" i="2"/>
  <c r="C40" i="2"/>
  <c r="AH18" i="3"/>
  <c r="B39" i="2"/>
  <c r="C39" i="2"/>
  <c r="D39" i="2"/>
  <c r="B27" i="3"/>
  <c r="AH42" i="3"/>
  <c r="E39" i="2"/>
  <c r="B26" i="3"/>
  <c r="AH26" i="3"/>
  <c r="B38" i="2"/>
  <c r="D38" i="2"/>
  <c r="C38" i="2"/>
  <c r="E38" i="2"/>
  <c r="L3" i="4"/>
  <c r="F3" i="4"/>
  <c r="AH22" i="3" l="1"/>
  <c r="B18" i="3"/>
  <c r="E41" i="2"/>
  <c r="AH38" i="3"/>
  <c r="B42" i="3"/>
  <c r="D41" i="2"/>
  <c r="O4" i="4"/>
  <c r="B41" i="2"/>
  <c r="C41" i="2"/>
  <c r="O5" i="4" s="1"/>
  <c r="O10" i="4"/>
  <c r="AF31" i="2"/>
  <c r="AF29" i="2"/>
  <c r="AF30" i="2"/>
  <c r="AF32" i="2"/>
  <c r="B42" i="2"/>
  <c r="E42" i="2"/>
  <c r="C42" i="2"/>
  <c r="D42" i="2"/>
  <c r="O6" i="4" s="1"/>
  <c r="AF14" i="2"/>
  <c r="AF15" i="2"/>
  <c r="D49" i="2"/>
  <c r="O9" i="4"/>
  <c r="O3" i="4"/>
  <c r="O8" i="4"/>
  <c r="O2" i="4"/>
  <c r="O12" i="4"/>
  <c r="O11" i="4"/>
  <c r="AF13" i="2"/>
  <c r="AF16" i="2"/>
  <c r="AH30" i="3" l="1"/>
  <c r="B49" i="2"/>
  <c r="E49" i="2"/>
  <c r="B35" i="3"/>
  <c r="C49" i="2"/>
  <c r="O13" i="4" s="1"/>
  <c r="C43" i="2"/>
  <c r="AH19" i="3"/>
  <c r="D43" i="2"/>
  <c r="B30" i="3"/>
  <c r="E43" i="2"/>
  <c r="B43" i="2"/>
  <c r="O7" i="4" l="1"/>
  <c r="F49" i="2" l="1"/>
  <c r="G49" i="2" s="1"/>
  <c r="F42" i="2"/>
  <c r="G42" i="2" s="1"/>
  <c r="F40" i="2"/>
  <c r="G40" i="2" s="1"/>
  <c r="F38" i="2"/>
  <c r="F39" i="2"/>
  <c r="G39" i="2" s="1"/>
  <c r="F41" i="2"/>
  <c r="G41" i="2" s="1"/>
  <c r="F44" i="2"/>
  <c r="G44" i="2" s="1"/>
  <c r="F46" i="2"/>
  <c r="G46" i="2" s="1"/>
  <c r="F47" i="2"/>
  <c r="G47" i="2" s="1"/>
  <c r="F48" i="2"/>
  <c r="G48" i="2" s="1"/>
  <c r="F45" i="2"/>
  <c r="G45" i="2" s="1"/>
  <c r="F43" i="2"/>
  <c r="G43" i="2" s="1"/>
  <c r="H13" i="3" l="1"/>
  <c r="I10" i="3"/>
  <c r="H7" i="3"/>
  <c r="I11" i="3"/>
  <c r="H10" i="3"/>
  <c r="I9" i="3"/>
  <c r="I8" i="3"/>
  <c r="H8" i="3"/>
  <c r="I6" i="3"/>
  <c r="H11" i="3"/>
  <c r="I13" i="3"/>
  <c r="I12" i="3"/>
  <c r="H12" i="3"/>
  <c r="H9" i="3"/>
  <c r="I7" i="3"/>
  <c r="H6" i="3"/>
  <c r="G38" i="2"/>
</calcChain>
</file>

<file path=xl/sharedStrings.xml><?xml version="1.0" encoding="utf-8"?>
<sst xmlns="http://schemas.openxmlformats.org/spreadsheetml/2006/main" count="833" uniqueCount="300">
  <si>
    <t>COUPE DU MONDE 2026 — MATCHS DE POULE</t>
  </si>
  <si>
    <t>Calendrier officiel (dates et heures en heure de Paris · stades). Saisir uniquement les buts dans les cases jaunes ; classements et arbre se mettent à jour automatiquement.</t>
  </si>
  <si>
    <t>POULE A</t>
  </si>
  <si>
    <t>POULE G</t>
  </si>
  <si>
    <t>Date</t>
  </si>
  <si>
    <t>Heure</t>
  </si>
  <si>
    <t>Équipe A</t>
  </si>
  <si>
    <t>Buts</t>
  </si>
  <si>
    <t>Équipe B</t>
  </si>
  <si>
    <t>Stade</t>
  </si>
  <si>
    <t>11 juin</t>
  </si>
  <si>
    <t>21:00</t>
  </si>
  <si>
    <t>Estadio Azteca, Mexico City</t>
  </si>
  <si>
    <t>16 juin</t>
  </si>
  <si>
    <t>03:00</t>
  </si>
  <si>
    <t>SoFi Stadium, Los Angeles</t>
  </si>
  <si>
    <t>12 juin</t>
  </si>
  <si>
    <t>04:00</t>
  </si>
  <si>
    <t>Estadio Akron, Guadalajara</t>
  </si>
  <si>
    <t>15 juin</t>
  </si>
  <si>
    <t>Lumen Field, Seattle</t>
  </si>
  <si>
    <t>18 juin</t>
  </si>
  <si>
    <t>18:00</t>
  </si>
  <si>
    <t>Mercedes-Benz Stadium, Atlanta</t>
  </si>
  <si>
    <t>21 juin</t>
  </si>
  <si>
    <t>19 juin</t>
  </si>
  <si>
    <t>22 juin</t>
  </si>
  <si>
    <t>BC Place, Vancouver</t>
  </si>
  <si>
    <t>25 juin</t>
  </si>
  <si>
    <t>27 juin</t>
  </si>
  <si>
    <t>05:00</t>
  </si>
  <si>
    <t>Estadio BBVA, Monterrey</t>
  </si>
  <si>
    <t>POULE B</t>
  </si>
  <si>
    <t>POULE H</t>
  </si>
  <si>
    <t>BMO Field, Toronto</t>
  </si>
  <si>
    <t>13 juin</t>
  </si>
  <si>
    <t>Levi's Stadium, San Francisco</t>
  </si>
  <si>
    <t>00:00</t>
  </si>
  <si>
    <t>Hard Rock Stadium, Miami</t>
  </si>
  <si>
    <t>24 juin</t>
  </si>
  <si>
    <t>02:00</t>
  </si>
  <si>
    <t>NRG Stadium, Houston</t>
  </si>
  <si>
    <t>POULE C</t>
  </si>
  <si>
    <t>POULE I</t>
  </si>
  <si>
    <t>14 juin</t>
  </si>
  <si>
    <t>MetLife Stadium, New York/NJ</t>
  </si>
  <si>
    <t>Gillette Stadium, Boston</t>
  </si>
  <si>
    <t>17 juin</t>
  </si>
  <si>
    <t>20 juin</t>
  </si>
  <si>
    <t>23:00</t>
  </si>
  <si>
    <t>Lincoln Financial Field, Philadelphia</t>
  </si>
  <si>
    <t>23 juin</t>
  </si>
  <si>
    <t>26 juin</t>
  </si>
  <si>
    <t>POULE D</t>
  </si>
  <si>
    <t>POULE J</t>
  </si>
  <si>
    <t>Arrowhead Stadium, Kansas City</t>
  </si>
  <si>
    <t>06:00</t>
  </si>
  <si>
    <t>19:00</t>
  </si>
  <si>
    <t>AT&amp;T Stadium, Dallas</t>
  </si>
  <si>
    <t>28 juin</t>
  </si>
  <si>
    <t>POULE E</t>
  </si>
  <si>
    <t>POULE K</t>
  </si>
  <si>
    <t>01:00</t>
  </si>
  <si>
    <t>22:00</t>
  </si>
  <si>
    <t>01:30</t>
  </si>
  <si>
    <t>POULE F</t>
  </si>
  <si>
    <t>POULE L</t>
  </si>
  <si>
    <t>Équipe</t>
  </si>
  <si>
    <t>J</t>
  </si>
  <si>
    <t>G</t>
  </si>
  <si>
    <t>N</t>
  </si>
  <si>
    <t>P</t>
  </si>
  <si>
    <t>BP</t>
  </si>
  <si>
    <t>BC</t>
  </si>
  <si>
    <t>DB</t>
  </si>
  <si>
    <t>Pts</t>
  </si>
  <si>
    <t>Clt</t>
  </si>
  <si>
    <t>Mexique</t>
  </si>
  <si>
    <t>Canada</t>
  </si>
  <si>
    <t>Brésil</t>
  </si>
  <si>
    <t>Afrique du Sud</t>
  </si>
  <si>
    <t>Suisse</t>
  </si>
  <si>
    <t>Maroc</t>
  </si>
  <si>
    <t>Corée du Sud</t>
  </si>
  <si>
    <t>Qatar</t>
  </si>
  <si>
    <t>Écosse</t>
  </si>
  <si>
    <t>Tchéquie</t>
  </si>
  <si>
    <t>Bosnie-Herzégovine</t>
  </si>
  <si>
    <t>Haïti</t>
  </si>
  <si>
    <t>États-Unis</t>
  </si>
  <si>
    <t>Allemagne</t>
  </si>
  <si>
    <t>Pays-Bas</t>
  </si>
  <si>
    <t>Paraguay</t>
  </si>
  <si>
    <t>Curaçao</t>
  </si>
  <si>
    <t>Tunisie</t>
  </si>
  <si>
    <t>Australie</t>
  </si>
  <si>
    <t>Côte d'Ivoire</t>
  </si>
  <si>
    <t>Suède</t>
  </si>
  <si>
    <t>Turquie</t>
  </si>
  <si>
    <t>Équateur</t>
  </si>
  <si>
    <t>Japon</t>
  </si>
  <si>
    <t>Belgique</t>
  </si>
  <si>
    <t>Espagne</t>
  </si>
  <si>
    <t>France</t>
  </si>
  <si>
    <t>Égypte</t>
  </si>
  <si>
    <t>Uruguay</t>
  </si>
  <si>
    <t>Sénégal</t>
  </si>
  <si>
    <t>Iran</t>
  </si>
  <si>
    <t>Arabie saoudite</t>
  </si>
  <si>
    <t>Norvège</t>
  </si>
  <si>
    <t>Nouvelle-Zélande</t>
  </si>
  <si>
    <t>Cap-Vert</t>
  </si>
  <si>
    <t>Irak</t>
  </si>
  <si>
    <t>Argentine</t>
  </si>
  <si>
    <t>Portugal</t>
  </si>
  <si>
    <t>Angleterre</t>
  </si>
  <si>
    <t>Autriche</t>
  </si>
  <si>
    <t>Colombie</t>
  </si>
  <si>
    <t>Croatie</t>
  </si>
  <si>
    <t>Algérie</t>
  </si>
  <si>
    <t>Ouzbékistan</t>
  </si>
  <si>
    <t>Ghana</t>
  </si>
  <si>
    <t>Jordanie</t>
  </si>
  <si>
    <t>RD Congo</t>
  </si>
  <si>
    <t>Panama</t>
  </si>
  <si>
    <t>CLASSEMENT DES 3es DE POULE (les 8 meilleurs sont qualifiés)</t>
  </si>
  <si>
    <t>Poule</t>
  </si>
  <si>
    <t>3e équipe</t>
  </si>
  <si>
    <t>Rang</t>
  </si>
  <si>
    <t>Qualifié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</si>
  <si>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</si>
  <si>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</si>
  <si>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</si>
  <si>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</si>
  <si>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</si>
  <si>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</si>
  <si>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</si>
  <si>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</si>
  <si>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</si>
  <si>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</si>
  <si>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Structure officielle. Saisir les scores (jaune) ; en cas d'égalité, renseigner les tirs au but (colonne « tab »). Les vainqueurs avancent automatiquement. Heures en heure de Paris.</t>
  </si>
  <si>
    <t>ATTRIBUTION DES 3es (choisir une lettre de poule par slot)</t>
  </si>
  <si>
    <t>Meilleurs 3es (8 qualifiés)</t>
  </si>
  <si>
    <t>Slot</t>
  </si>
  <si>
    <t>Groupes éligibles</t>
  </si>
  <si>
    <t>Lettre</t>
  </si>
  <si>
    <t>Équipe 3e</t>
  </si>
  <si>
    <t>Statut</t>
  </si>
  <si>
    <t>3ABCDF</t>
  </si>
  <si>
    <t>A,B,C,D,F</t>
  </si>
  <si>
    <t>3CDFGH</t>
  </si>
  <si>
    <t>C,D,F,G,H</t>
  </si>
  <si>
    <t>3CEFHI</t>
  </si>
  <si>
    <t>C,E,F,H,I</t>
  </si>
  <si>
    <t>3EHIJK</t>
  </si>
  <si>
    <t>E,H,I,J,K</t>
  </si>
  <si>
    <t>3BEFIJ</t>
  </si>
  <si>
    <t>B,E,F,I,J</t>
  </si>
  <si>
    <t>3AEHIJ</t>
  </si>
  <si>
    <t>A,E,H,I,J</t>
  </si>
  <si>
    <t>3EFGIJ</t>
  </si>
  <si>
    <t>E,F,G,I,J</t>
  </si>
  <si>
    <t>3DEIJL</t>
  </si>
  <si>
    <t>D,E,I,J,L</t>
  </si>
  <si>
    <t>16es</t>
  </si>
  <si>
    <t>8es</t>
  </si>
  <si>
    <t>Quarts</t>
  </si>
  <si>
    <t>Demies</t>
  </si>
  <si>
    <t>Finale</t>
  </si>
  <si>
    <t>1E</t>
  </si>
  <si>
    <t>1C</t>
  </si>
  <si>
    <t>2F</t>
  </si>
  <si>
    <t>M74 · 29 juin 22:30 · Gillette Stadium, Boston</t>
  </si>
  <si>
    <t>Vainq. M74</t>
  </si>
  <si>
    <t>Vainq. M76</t>
  </si>
  <si>
    <t>M76 · 29 juin 19:00 · NRG Stadium, Houston</t>
  </si>
  <si>
    <t>Vainq. M77</t>
  </si>
  <si>
    <t>Vainq. M78</t>
  </si>
  <si>
    <t>1I</t>
  </si>
  <si>
    <t>M89 · 4 juil 23:00 · Lincoln Financial Field, Philadelphie</t>
  </si>
  <si>
    <t>M91 · 5 juil 22:00 · MetLife, New York/NJ</t>
  </si>
  <si>
    <t>2E</t>
  </si>
  <si>
    <t>2I</t>
  </si>
  <si>
    <t>M77 · 30 juin 23:00 · MetLife, New York/NJ</t>
  </si>
  <si>
    <t>Vainq. M89</t>
  </si>
  <si>
    <t>Vainq. M91</t>
  </si>
  <si>
    <t>M78 · 30 juin 19:00 · AT&amp;T Stadium, Dallas</t>
  </si>
  <si>
    <t>Vainq. M90</t>
  </si>
  <si>
    <t>Vainq. M92</t>
  </si>
  <si>
    <t>2A</t>
  </si>
  <si>
    <t>M97 · 10 juil 02:00 · Gillette Stadium, Boston</t>
  </si>
  <si>
    <t>M99 · 12 juil 03:00 · Hard Rock Stadium, Miami</t>
  </si>
  <si>
    <t>1A</t>
  </si>
  <si>
    <t>2B</t>
  </si>
  <si>
    <t>M73 · 28 juin 21:00 · SoFi Stadium, Los Angeles</t>
  </si>
  <si>
    <t>Vainq. M73</t>
  </si>
  <si>
    <t>Vainq. M79</t>
  </si>
  <si>
    <t>M79 · 1 juil 03:00 · Estadio Azteca, Mexico City</t>
  </si>
  <si>
    <t>Vainq. M75</t>
  </si>
  <si>
    <t>Vainq. M80</t>
  </si>
  <si>
    <t>1F</t>
  </si>
  <si>
    <t>M90 · 4 juil 19:00 · NRG Stadium, Houston</t>
  </si>
  <si>
    <t>M92 · 6 juil 02:00 · Estadio Azteca, Mexico</t>
  </si>
  <si>
    <t>1L</t>
  </si>
  <si>
    <t>2C</t>
  </si>
  <si>
    <t>FINALE</t>
  </si>
  <si>
    <t>M75 · 30 juin 03:00 · Estadio BBVA, Monterrey</t>
  </si>
  <si>
    <t>Vainq. M97</t>
  </si>
  <si>
    <t>Vainq. M101</t>
  </si>
  <si>
    <t>Vainq. M99</t>
  </si>
  <si>
    <t>M80 · 1 juil 18:00 · Mercedes-Benz, Atlanta</t>
  </si>
  <si>
    <t>Vainq. M98</t>
  </si>
  <si>
    <t>Vainq. M102</t>
  </si>
  <si>
    <t>Vainq. M100</t>
  </si>
  <si>
    <t>2K</t>
  </si>
  <si>
    <t>M101 · 15 juil 01:00 · AT&amp;T Stadium, Dallas</t>
  </si>
  <si>
    <t>Finale · 19 juil 21:00 · MetLife, New York/NJ</t>
  </si>
  <si>
    <t>M102 · 16 juil 01:00 · Mercedes-Benz, Atlanta</t>
  </si>
  <si>
    <t>1J</t>
  </si>
  <si>
    <t>2L</t>
  </si>
  <si>
    <t>2H</t>
  </si>
  <si>
    <t>M83 · 3 juil 01:00 · BMO Field, Toronto</t>
  </si>
  <si>
    <t>Vainq. M83</t>
  </si>
  <si>
    <t>Vainq. M86</t>
  </si>
  <si>
    <t>M86 · 4 juil 00:00 · Hard Rock Stadium, Miami</t>
  </si>
  <si>
    <t>Vainq. M84</t>
  </si>
  <si>
    <t>Vainq. M88</t>
  </si>
  <si>
    <t>1H</t>
  </si>
  <si>
    <t>M93 · 6 juil 21:00 · AT&amp;T Stadium, Dallas</t>
  </si>
  <si>
    <t>M95 · 7 juil 18:00 · Mercedes-Benz, Atlanta</t>
  </si>
  <si>
    <t>2D</t>
  </si>
  <si>
    <t>2J</t>
  </si>
  <si>
    <t>2G</t>
  </si>
  <si>
    <t>M84 · 2 juil 21:00 · SoFi Stadium, Los Angeles</t>
  </si>
  <si>
    <t>Vainq. M93</t>
  </si>
  <si>
    <t>Vainq. M95</t>
  </si>
  <si>
    <t>M88 · 3 juil 20:00 · AT&amp;T Stadium, Dallas</t>
  </si>
  <si>
    <t>Vainq. M94</t>
  </si>
  <si>
    <t>Vainq. M96</t>
  </si>
  <si>
    <t>1D</t>
  </si>
  <si>
    <t>M98 · 11 juil 01:00 · SoFi Stadium, Los Angeles</t>
  </si>
  <si>
    <t>M100 · 12 juil 07:00 · Arrowhead Stadium, Kansas City</t>
  </si>
  <si>
    <t>1B</t>
  </si>
  <si>
    <t>M81 · 2 juil 02:00 · Levi's Stadium, San Francisco</t>
  </si>
  <si>
    <t>Vainq. M81</t>
  </si>
  <si>
    <t>Vainq. M85</t>
  </si>
  <si>
    <t>M85 · 3 juil 05:00 · BC Place, Vancouver</t>
  </si>
  <si>
    <t>Vainq. M82</t>
  </si>
  <si>
    <t>Vainq. M87</t>
  </si>
  <si>
    <t>1G</t>
  </si>
  <si>
    <t>M94 · 7 juil 02:00 · Lumen Field, Seattle</t>
  </si>
  <si>
    <t>M96 · 7 juil 22:00 · BC Place, Vancouver</t>
  </si>
  <si>
    <t>1K</t>
  </si>
  <si>
    <t>M82 · 1 juil 22:00 · Lumen Field, Seattle</t>
  </si>
  <si>
    <t>M87 · 4 juil 03:30 · Arrowhead Stadium, Kansas City</t>
  </si>
  <si>
    <t>3e PLACE</t>
  </si>
  <si>
    <t>Perdant M101</t>
  </si>
  <si>
    <t>Perdant M102</t>
  </si>
  <si>
    <t>3e place · 19 juil 03:00 · Hard Rock Stadium, Miami</t>
  </si>
  <si>
    <t>Feuille technique — départage (ne pas modifier)</t>
  </si>
  <si>
    <t>Calculs vainqueurs/perdants — ne pas modifier</t>
  </si>
  <si>
    <t>Match</t>
  </si>
  <si>
    <t>Vainqueur</t>
  </si>
  <si>
    <t>Perdant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</si>
  <si>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</si>
  <si>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</si>
  <si>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</si>
  <si>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</si>
  <si>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</si>
  <si>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</si>
  <si>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</si>
  <si>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</si>
  <si>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</si>
  <si>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</si>
  <si>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</si>
  <si>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</si>
  <si>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</si>
  <si>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</si>
  <si>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</si>
  <si>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</si>
  <si>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</si>
  <si>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</si>
  <si>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</si>
  <si>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</si>
  <si>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</si>
  <si>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</si>
  <si>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</si>
  <si>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</si>
  <si>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</si>
  <si>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</si>
  <si>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</si>
  <si>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</si>
  <si>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</si>
  <si>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</si>
  <si>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104</t>
  </si>
  <si>
    <t>103</t>
  </si>
  <si>
    <t>CLASSEMENTS DES POULES</t>
  </si>
  <si>
    <t>COUPE DU MONDE 2026 — PHASE FINALE</t>
  </si>
  <si>
    <t>Modèle gratuit créé par Le Dojo Club (https://ledojo.club)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</si>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</sst>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"/>
    </font>
    <font>
      <b/>
      <sz val="15"/>
      <color rgb="FF1F2A44"/>
      <name val="Arial"/>
      <charset val="1"/>
    </font>
    <font>
      <sz val="9"/>
      <color rgb="FF555555"/>
      <name val="Arial"/>
      <charset val="1"/>
    </font>
    <font>
      <b/>
      <sz val="12"/>
      <color rgb="FFFFFFFF"/>
      <name val="Arial"/>
      <charset val="1"/>
    </font>
    <font>
      <b/>
      <sz val="9"/>
      <color rgb="FFFFFFFF"/>
      <name val="Arial"/>
      <charset val="1"/>
    </font>
    <font>
      <sz val="9"/>
      <color rgb="FF000000"/>
      <name val="Arial"/>
      <charset val="1"/>
    </font>
    <font>
      <b/>
      <sz val="9"/>
      <name val="Arial"/>
      <charset val="1"/>
    </font>
    <font>
      <b/>
      <sz val="9"/>
      <color rgb="FF0000FF"/>
      <name val="Arial"/>
      <charset val="1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b/>
      <sz val="9"/>
      <color rgb="FF1F2A44"/>
      <name val="Arial"/>
      <charset val="1"/>
    </font>
    <font>
      <b/>
      <sz val="13"/>
      <color rgb="FF1F2A44"/>
      <name val="Arial"/>
      <charset val="1"/>
    </font>
    <font>
      <b/>
      <sz val="9"/>
      <color rgb="FF1A7F37"/>
      <name val="Arial"/>
      <charset val="1"/>
    </font>
    <font>
      <b/>
      <sz val="11"/>
      <color rgb="FF1F2A44"/>
      <name val="Arial"/>
      <charset val="1"/>
    </font>
    <font>
      <b/>
      <sz val="10"/>
      <color rgb="FF0000FF"/>
      <name val="Arial"/>
      <charset val="1"/>
    </font>
    <font>
      <b/>
      <sz val="10"/>
      <color rgb="FFFFFFFF"/>
      <name val="Arial"/>
      <charset val="1"/>
    </font>
    <font>
      <sz val="8"/>
      <color rgb="FF777777"/>
      <name val="Arial"/>
      <charset val="1"/>
    </font>
    <font>
      <sz val="10"/>
      <color rgb="FF000000"/>
      <name val="Arial"/>
      <charset val="1"/>
    </font>
    <font>
      <sz val="8"/>
      <color rgb="FF888888"/>
      <name val="Arial"/>
      <charset val="1"/>
    </font>
    <font>
      <sz val="7"/>
      <color rgb="FF999999"/>
      <name val="Arial"/>
      <charset val="1"/>
    </font>
    <font>
      <b/>
      <sz val="12"/>
      <color rgb="FFB8860B"/>
      <name val="Arial"/>
      <charset val="1"/>
    </font>
    <font>
      <b/>
      <sz val="10"/>
      <color rgb="FF1F2A44"/>
      <name val="Arial"/>
      <charset val="1"/>
    </font>
    <font>
      <sz val="9"/>
      <color rgb="FF64748B"/>
      <name val="Calibri"/>
      <family val="2"/>
    </font>
    <font>
      <u/>
      <sz val="9"/>
      <color rgb="FF0563C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2A44"/>
        <bgColor rgb="FF003366"/>
      </patternFill>
    </fill>
    <fill>
      <patternFill patternType="solid">
        <fgColor rgb="FF55607A"/>
        <bgColor rgb="FF555555"/>
      </patternFill>
    </fill>
    <fill>
      <patternFill patternType="solid">
        <fgColor rgb="FFFFF7D6"/>
        <bgColor rgb="FFE7F0E1"/>
      </patternFill>
    </fill>
    <fill>
      <patternFill patternType="solid">
        <fgColor rgb="FFE7F0E1"/>
        <bgColor rgb="FFFFF7D6"/>
      </patternFill>
    </fill>
    <fill>
      <patternFill patternType="solid">
        <fgColor rgb="FFFFFFFF"/>
        <bgColor rgb="FFFFF7D6"/>
      </patternFill>
    </fill>
  </fills>
  <borders count="2">
    <border>
      <left/>
      <right/>
      <top/>
      <bottom/>
      <diagonal/>
    </border>
    <border>
      <left style="thin">
        <color rgb="FFC9CFDA"/>
      </left>
      <right style="thin">
        <color rgb="FFC9CFDA"/>
      </right>
      <top style="thin">
        <color rgb="FFC9CFDA"/>
      </top>
      <bottom style="thin">
        <color rgb="FFC9CFDA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9" fillId="0" borderId="1" xfId="0" applyFont="1" applyBorder="1"/>
    <xf numFmtId="0" fontId="1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6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8" fillId="6" borderId="1" xfId="0" applyFont="1" applyFill="1" applyBorder="1" applyAlignment="1">
      <alignment horizontal="left" vertical="center"/>
    </xf>
    <xf numFmtId="0" fontId="21" fillId="0" borderId="0" xfId="0" applyFont="1"/>
    <xf numFmtId="0" fontId="5" fillId="0" borderId="0" xfId="0" applyFont="1"/>
    <xf numFmtId="0" fontId="9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7F37"/>
      <rgbColor rgb="FF000080"/>
      <rgbColor rgb="FFB8860B"/>
      <rgbColor rgb="FF800080"/>
      <rgbColor rgb="FF008080"/>
      <rgbColor rgb="FFC0C0C0"/>
      <rgbColor rgb="FF888888"/>
      <rgbColor rgb="FF9999FF"/>
      <rgbColor rgb="FF993366"/>
      <rgbColor rgb="FFFFF7D6"/>
      <rgbColor rgb="FFCCFFFF"/>
      <rgbColor rgb="FF660066"/>
      <rgbColor rgb="FFFF8080"/>
      <rgbColor rgb="FF0066CC"/>
      <rgbColor rgb="FFC9CF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7F0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607A"/>
      <rgbColor rgb="FF999999"/>
      <rgbColor rgb="FF003366"/>
      <rgbColor rgb="FF777777"/>
      <rgbColor rgb="FF003300"/>
      <rgbColor rgb="FF333300"/>
      <rgbColor rgb="FF993300"/>
      <rgbColor rgb="FF993366"/>
      <rgbColor rgb="FF555555"/>
      <rgbColor rgb="FF1F2A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ledojo.club/modeles-excel" TargetMode="External"/><Relationship Id="rId1" Type="http://schemas.openxmlformats.org/officeDocument/2006/relationships/hyperlink" Target="https://ledojo.clu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showGridLines="0" tabSelected="1" zoomScaleNormal="100" workbookViewId="0">
      <pane ySplit="3" topLeftCell="A32" activePane="bottomLeft" state="frozen"/>
      <selection pane="bottomLeft" activeCell="R60" sqref="R60"/>
    </sheetView>
  </sheetViews>
  <sheetFormatPr baseColWidth="10" defaultColWidth="8.6640625" defaultRowHeight="14.4" x14ac:dyDescent="0.3"/>
  <cols>
    <col min="1" max="1" width="8" customWidth="1"/>
    <col min="2" max="2" width="9" customWidth="1"/>
    <col min="3" max="3" width="17" customWidth="1"/>
    <col min="4" max="5" width="5" customWidth="1"/>
    <col min="6" max="6" width="17" customWidth="1"/>
    <col min="7" max="7" width="26.5546875" bestFit="1" customWidth="1"/>
    <col min="8" max="8" width="2" customWidth="1"/>
    <col min="10" max="10" width="8" customWidth="1"/>
    <col min="11" max="11" width="9" customWidth="1"/>
    <col min="12" max="12" width="17" customWidth="1"/>
    <col min="13" max="14" width="5" customWidth="1"/>
    <col min="15" max="15" width="17" customWidth="1"/>
    <col min="16" max="16" width="26.5546875" bestFit="1" customWidth="1"/>
    <col min="17" max="17" width="2" customWidth="1"/>
  </cols>
  <sheetData>
    <row r="1" spans="1:16" ht="18" customHeight="1" x14ac:dyDescent="0.35">
      <c r="A1" s="1" t="s">
        <v>0</v>
      </c>
    </row>
    <row r="2" spans="1:16" ht="15" customHeight="1" x14ac:dyDescent="0.3">
      <c r="A2" s="2" t="s">
        <v>1</v>
      </c>
    </row>
    <row r="4" spans="1:16" ht="15" customHeight="1" x14ac:dyDescent="0.3">
      <c r="A4" s="3" t="s">
        <v>2</v>
      </c>
      <c r="B4" s="4"/>
      <c r="C4" s="4"/>
      <c r="D4" s="4"/>
      <c r="E4" s="4"/>
      <c r="F4" s="4"/>
      <c r="G4" s="4"/>
      <c r="J4" s="3" t="s">
        <v>3</v>
      </c>
      <c r="K4" s="4"/>
      <c r="L4" s="4"/>
      <c r="M4" s="4"/>
      <c r="N4" s="4"/>
      <c r="O4" s="4"/>
      <c r="P4" s="4"/>
    </row>
    <row r="5" spans="1:16" ht="15" customHeight="1" x14ac:dyDescent="0.3">
      <c r="A5" s="5" t="s">
        <v>4</v>
      </c>
      <c r="B5" s="5" t="s">
        <v>5</v>
      </c>
      <c r="C5" s="5" t="s">
        <v>6</v>
      </c>
      <c r="D5" s="5" t="s">
        <v>7</v>
      </c>
      <c r="E5" s="5" t="s">
        <v>7</v>
      </c>
      <c r="F5" s="5" t="s">
        <v>8</v>
      </c>
      <c r="G5" s="5" t="s">
        <v>9</v>
      </c>
      <c r="J5" s="5" t="s">
        <v>4</v>
      </c>
      <c r="K5" s="5" t="s">
        <v>5</v>
      </c>
      <c r="L5" s="5" t="s">
        <v>6</v>
      </c>
      <c r="M5" s="5" t="s">
        <v>7</v>
      </c>
      <c r="N5" s="5" t="s">
        <v>7</v>
      </c>
      <c r="O5" s="5" t="s">
        <v>8</v>
      </c>
      <c r="P5" s="5" t="s">
        <v>9</v>
      </c>
    </row>
    <row r="6" spans="1:16" ht="15" customHeight="1" x14ac:dyDescent="0.3">
      <c r="A6" s="6" t="s">
        <v>10</v>
      </c>
      <c r="B6" s="6" t="s">
        <v>11</v>
      </c>
      <c r="C6" s="7" t="s">
        <v>77</v>
      </c>
      <c r="D6" s="8"/>
      <c r="E6" s="8"/>
      <c r="F6" s="9" t="s">
        <v>80</v>
      </c>
      <c r="G6" s="10" t="s">
        <v>12</v>
      </c>
      <c r="J6" s="6" t="s">
        <v>13</v>
      </c>
      <c r="K6" s="6" t="s">
        <v>14</v>
      </c>
      <c r="L6" s="7" t="s">
        <v>107</v>
      </c>
      <c r="M6" s="8"/>
      <c r="N6" s="8"/>
      <c r="O6" s="9" t="s">
        <v>110</v>
      </c>
      <c r="P6" s="10" t="s">
        <v>15</v>
      </c>
    </row>
    <row r="7" spans="1:16" ht="15" customHeight="1" x14ac:dyDescent="0.3">
      <c r="A7" s="6" t="s">
        <v>16</v>
      </c>
      <c r="B7" s="6" t="s">
        <v>17</v>
      </c>
      <c r="C7" s="7" t="s">
        <v>83</v>
      </c>
      <c r="D7" s="8"/>
      <c r="E7" s="8"/>
      <c r="F7" s="9" t="s">
        <v>86</v>
      </c>
      <c r="G7" s="10" t="s">
        <v>18</v>
      </c>
      <c r="J7" s="6" t="s">
        <v>19</v>
      </c>
      <c r="K7" s="6" t="s">
        <v>11</v>
      </c>
      <c r="L7" s="7" t="s">
        <v>101</v>
      </c>
      <c r="M7" s="8"/>
      <c r="N7" s="8"/>
      <c r="O7" s="9" t="s">
        <v>104</v>
      </c>
      <c r="P7" s="10" t="s">
        <v>20</v>
      </c>
    </row>
    <row r="8" spans="1:16" ht="15" customHeight="1" x14ac:dyDescent="0.3">
      <c r="A8" s="6" t="s">
        <v>21</v>
      </c>
      <c r="B8" s="6" t="s">
        <v>22</v>
      </c>
      <c r="C8" s="7" t="s">
        <v>86</v>
      </c>
      <c r="D8" s="8"/>
      <c r="E8" s="8"/>
      <c r="F8" s="9" t="s">
        <v>80</v>
      </c>
      <c r="G8" s="10" t="s">
        <v>23</v>
      </c>
      <c r="J8" s="6" t="s">
        <v>24</v>
      </c>
      <c r="K8" s="6" t="s">
        <v>11</v>
      </c>
      <c r="L8" s="7" t="s">
        <v>101</v>
      </c>
      <c r="M8" s="8"/>
      <c r="N8" s="8"/>
      <c r="O8" s="9" t="s">
        <v>107</v>
      </c>
      <c r="P8" s="10" t="s">
        <v>15</v>
      </c>
    </row>
    <row r="9" spans="1:16" ht="15" customHeight="1" x14ac:dyDescent="0.3">
      <c r="A9" s="6" t="s">
        <v>25</v>
      </c>
      <c r="B9" s="6" t="s">
        <v>14</v>
      </c>
      <c r="C9" s="7" t="s">
        <v>77</v>
      </c>
      <c r="D9" s="8"/>
      <c r="E9" s="8"/>
      <c r="F9" s="9" t="s">
        <v>83</v>
      </c>
      <c r="G9" s="10" t="s">
        <v>18</v>
      </c>
      <c r="J9" s="6" t="s">
        <v>26</v>
      </c>
      <c r="K9" s="6" t="s">
        <v>14</v>
      </c>
      <c r="L9" s="7" t="s">
        <v>110</v>
      </c>
      <c r="M9" s="8"/>
      <c r="N9" s="8"/>
      <c r="O9" s="9" t="s">
        <v>104</v>
      </c>
      <c r="P9" s="10" t="s">
        <v>27</v>
      </c>
    </row>
    <row r="10" spans="1:16" ht="15" customHeight="1" x14ac:dyDescent="0.3">
      <c r="A10" s="6" t="s">
        <v>28</v>
      </c>
      <c r="B10" s="6" t="s">
        <v>14</v>
      </c>
      <c r="C10" s="7" t="s">
        <v>86</v>
      </c>
      <c r="D10" s="8"/>
      <c r="E10" s="8"/>
      <c r="F10" s="9" t="s">
        <v>77</v>
      </c>
      <c r="G10" s="10" t="s">
        <v>12</v>
      </c>
      <c r="J10" s="6" t="s">
        <v>29</v>
      </c>
      <c r="K10" s="6" t="s">
        <v>30</v>
      </c>
      <c r="L10" s="7" t="s">
        <v>104</v>
      </c>
      <c r="M10" s="8"/>
      <c r="N10" s="8"/>
      <c r="O10" s="9" t="s">
        <v>107</v>
      </c>
      <c r="P10" s="10" t="s">
        <v>20</v>
      </c>
    </row>
    <row r="11" spans="1:16" ht="15" customHeight="1" x14ac:dyDescent="0.3">
      <c r="A11" s="6" t="s">
        <v>28</v>
      </c>
      <c r="B11" s="6" t="s">
        <v>14</v>
      </c>
      <c r="C11" s="7" t="s">
        <v>80</v>
      </c>
      <c r="D11" s="8"/>
      <c r="E11" s="8"/>
      <c r="F11" s="9" t="s">
        <v>83</v>
      </c>
      <c r="G11" s="10" t="s">
        <v>31</v>
      </c>
      <c r="J11" s="6" t="s">
        <v>29</v>
      </c>
      <c r="K11" s="6" t="s">
        <v>30</v>
      </c>
      <c r="L11" s="7" t="s">
        <v>110</v>
      </c>
      <c r="M11" s="8"/>
      <c r="N11" s="8"/>
      <c r="O11" s="9" t="s">
        <v>101</v>
      </c>
      <c r="P11" s="10" t="s">
        <v>27</v>
      </c>
    </row>
    <row r="13" spans="1:16" ht="15" customHeight="1" x14ac:dyDescent="0.3">
      <c r="A13" s="3" t="s">
        <v>32</v>
      </c>
      <c r="B13" s="4"/>
      <c r="C13" s="4"/>
      <c r="D13" s="4"/>
      <c r="E13" s="4"/>
      <c r="F13" s="4"/>
      <c r="G13" s="4"/>
      <c r="J13" s="3" t="s">
        <v>33</v>
      </c>
      <c r="K13" s="4"/>
      <c r="L13" s="4"/>
      <c r="M13" s="4"/>
      <c r="N13" s="4"/>
      <c r="O13" s="4"/>
      <c r="P13" s="4"/>
    </row>
    <row r="14" spans="1:16" ht="15" customHeight="1" x14ac:dyDescent="0.3">
      <c r="A14" s="5" t="s">
        <v>4</v>
      </c>
      <c r="B14" s="5" t="s">
        <v>5</v>
      </c>
      <c r="C14" s="5" t="s">
        <v>6</v>
      </c>
      <c r="D14" s="5" t="s">
        <v>7</v>
      </c>
      <c r="E14" s="5" t="s">
        <v>7</v>
      </c>
      <c r="F14" s="5" t="s">
        <v>8</v>
      </c>
      <c r="G14" s="5" t="s">
        <v>9</v>
      </c>
      <c r="J14" s="5" t="s">
        <v>4</v>
      </c>
      <c r="K14" s="5" t="s">
        <v>5</v>
      </c>
      <c r="L14" s="5" t="s">
        <v>6</v>
      </c>
      <c r="M14" s="5" t="s">
        <v>7</v>
      </c>
      <c r="N14" s="5" t="s">
        <v>7</v>
      </c>
      <c r="O14" s="5" t="s">
        <v>8</v>
      </c>
      <c r="P14" s="5" t="s">
        <v>9</v>
      </c>
    </row>
    <row r="15" spans="1:16" ht="15" customHeight="1" x14ac:dyDescent="0.3">
      <c r="A15" s="6" t="s">
        <v>16</v>
      </c>
      <c r="B15" s="6" t="s">
        <v>11</v>
      </c>
      <c r="C15" s="7" t="s">
        <v>78</v>
      </c>
      <c r="D15" s="8"/>
      <c r="E15" s="8"/>
      <c r="F15" s="9" t="s">
        <v>87</v>
      </c>
      <c r="G15" s="10" t="s">
        <v>34</v>
      </c>
      <c r="J15" s="6" t="s">
        <v>19</v>
      </c>
      <c r="K15" s="6" t="s">
        <v>22</v>
      </c>
      <c r="L15" s="7" t="s">
        <v>102</v>
      </c>
      <c r="M15" s="8"/>
      <c r="N15" s="8"/>
      <c r="O15" s="9" t="s">
        <v>111</v>
      </c>
      <c r="P15" s="10" t="s">
        <v>23</v>
      </c>
    </row>
    <row r="16" spans="1:16" ht="15" customHeight="1" x14ac:dyDescent="0.3">
      <c r="A16" s="6" t="s">
        <v>35</v>
      </c>
      <c r="B16" s="6" t="s">
        <v>11</v>
      </c>
      <c r="C16" s="7" t="s">
        <v>84</v>
      </c>
      <c r="D16" s="8"/>
      <c r="E16" s="8"/>
      <c r="F16" s="9" t="s">
        <v>81</v>
      </c>
      <c r="G16" s="10" t="s">
        <v>36</v>
      </c>
      <c r="J16" s="6" t="s">
        <v>13</v>
      </c>
      <c r="K16" s="6" t="s">
        <v>37</v>
      </c>
      <c r="L16" s="7" t="s">
        <v>108</v>
      </c>
      <c r="M16" s="8"/>
      <c r="N16" s="8"/>
      <c r="O16" s="9" t="s">
        <v>105</v>
      </c>
      <c r="P16" s="10" t="s">
        <v>38</v>
      </c>
    </row>
    <row r="17" spans="1:16" ht="15" customHeight="1" x14ac:dyDescent="0.3">
      <c r="A17" s="6" t="s">
        <v>21</v>
      </c>
      <c r="B17" s="6" t="s">
        <v>11</v>
      </c>
      <c r="C17" s="7" t="s">
        <v>81</v>
      </c>
      <c r="D17" s="8"/>
      <c r="E17" s="8"/>
      <c r="F17" s="9" t="s">
        <v>87</v>
      </c>
      <c r="G17" s="10" t="s">
        <v>15</v>
      </c>
      <c r="J17" s="6" t="s">
        <v>24</v>
      </c>
      <c r="K17" s="6" t="s">
        <v>22</v>
      </c>
      <c r="L17" s="7" t="s">
        <v>102</v>
      </c>
      <c r="M17" s="8"/>
      <c r="N17" s="8"/>
      <c r="O17" s="9" t="s">
        <v>108</v>
      </c>
      <c r="P17" s="10" t="s">
        <v>23</v>
      </c>
    </row>
    <row r="18" spans="1:16" ht="15" customHeight="1" x14ac:dyDescent="0.3">
      <c r="A18" s="6" t="s">
        <v>25</v>
      </c>
      <c r="B18" s="6" t="s">
        <v>37</v>
      </c>
      <c r="C18" s="7" t="s">
        <v>78</v>
      </c>
      <c r="D18" s="8"/>
      <c r="E18" s="8"/>
      <c r="F18" s="9" t="s">
        <v>84</v>
      </c>
      <c r="G18" s="10" t="s">
        <v>27</v>
      </c>
      <c r="J18" s="6" t="s">
        <v>26</v>
      </c>
      <c r="K18" s="6" t="s">
        <v>37</v>
      </c>
      <c r="L18" s="7" t="s">
        <v>105</v>
      </c>
      <c r="M18" s="8"/>
      <c r="N18" s="8"/>
      <c r="O18" s="9" t="s">
        <v>111</v>
      </c>
      <c r="P18" s="10" t="s">
        <v>38</v>
      </c>
    </row>
    <row r="19" spans="1:16" ht="15" customHeight="1" x14ac:dyDescent="0.3">
      <c r="A19" s="6" t="s">
        <v>39</v>
      </c>
      <c r="B19" s="6" t="s">
        <v>11</v>
      </c>
      <c r="C19" s="7" t="s">
        <v>81</v>
      </c>
      <c r="D19" s="8"/>
      <c r="E19" s="8"/>
      <c r="F19" s="9" t="s">
        <v>78</v>
      </c>
      <c r="G19" s="10" t="s">
        <v>27</v>
      </c>
      <c r="J19" s="6" t="s">
        <v>29</v>
      </c>
      <c r="K19" s="6" t="s">
        <v>40</v>
      </c>
      <c r="L19" s="7" t="s">
        <v>111</v>
      </c>
      <c r="M19" s="8"/>
      <c r="N19" s="8"/>
      <c r="O19" s="9" t="s">
        <v>108</v>
      </c>
      <c r="P19" s="10" t="s">
        <v>41</v>
      </c>
    </row>
    <row r="20" spans="1:16" ht="15" customHeight="1" x14ac:dyDescent="0.3">
      <c r="A20" s="6" t="s">
        <v>39</v>
      </c>
      <c r="B20" s="6" t="s">
        <v>11</v>
      </c>
      <c r="C20" s="7" t="s">
        <v>87</v>
      </c>
      <c r="D20" s="8"/>
      <c r="E20" s="8"/>
      <c r="F20" s="9" t="s">
        <v>84</v>
      </c>
      <c r="G20" s="10" t="s">
        <v>20</v>
      </c>
      <c r="J20" s="6" t="s">
        <v>29</v>
      </c>
      <c r="K20" s="6" t="s">
        <v>40</v>
      </c>
      <c r="L20" s="7" t="s">
        <v>105</v>
      </c>
      <c r="M20" s="8"/>
      <c r="N20" s="8"/>
      <c r="O20" s="9" t="s">
        <v>102</v>
      </c>
      <c r="P20" s="10" t="s">
        <v>18</v>
      </c>
    </row>
    <row r="22" spans="1:16" ht="15" customHeight="1" x14ac:dyDescent="0.3">
      <c r="A22" s="3" t="s">
        <v>42</v>
      </c>
      <c r="B22" s="4"/>
      <c r="C22" s="4"/>
      <c r="D22" s="4"/>
      <c r="E22" s="4"/>
      <c r="F22" s="4"/>
      <c r="G22" s="4"/>
      <c r="J22" s="3" t="s">
        <v>43</v>
      </c>
      <c r="K22" s="4"/>
      <c r="L22" s="4"/>
      <c r="M22" s="4"/>
      <c r="N22" s="4"/>
      <c r="O22" s="4"/>
      <c r="P22" s="4"/>
    </row>
    <row r="23" spans="1:16" ht="15" customHeight="1" x14ac:dyDescent="0.3">
      <c r="A23" s="5" t="s">
        <v>4</v>
      </c>
      <c r="B23" s="5" t="s">
        <v>5</v>
      </c>
      <c r="C23" s="5" t="s">
        <v>6</v>
      </c>
      <c r="D23" s="5" t="s">
        <v>7</v>
      </c>
      <c r="E23" s="5" t="s">
        <v>7</v>
      </c>
      <c r="F23" s="5" t="s">
        <v>8</v>
      </c>
      <c r="G23" s="5" t="s">
        <v>9</v>
      </c>
      <c r="J23" s="5" t="s">
        <v>4</v>
      </c>
      <c r="K23" s="5" t="s">
        <v>5</v>
      </c>
      <c r="L23" s="5" t="s">
        <v>6</v>
      </c>
      <c r="M23" s="5" t="s">
        <v>7</v>
      </c>
      <c r="N23" s="5" t="s">
        <v>7</v>
      </c>
      <c r="O23" s="5" t="s">
        <v>8</v>
      </c>
      <c r="P23" s="5" t="s">
        <v>9</v>
      </c>
    </row>
    <row r="24" spans="1:16" ht="15" customHeight="1" x14ac:dyDescent="0.3">
      <c r="A24" s="6" t="s">
        <v>44</v>
      </c>
      <c r="B24" s="6" t="s">
        <v>37</v>
      </c>
      <c r="C24" s="7" t="s">
        <v>79</v>
      </c>
      <c r="D24" s="8"/>
      <c r="E24" s="8"/>
      <c r="F24" s="9" t="s">
        <v>82</v>
      </c>
      <c r="G24" s="10" t="s">
        <v>45</v>
      </c>
      <c r="J24" s="6" t="s">
        <v>13</v>
      </c>
      <c r="K24" s="6" t="s">
        <v>11</v>
      </c>
      <c r="L24" s="7" t="s">
        <v>103</v>
      </c>
      <c r="M24" s="8"/>
      <c r="N24" s="8"/>
      <c r="O24" s="9" t="s">
        <v>106</v>
      </c>
      <c r="P24" s="10" t="s">
        <v>45</v>
      </c>
    </row>
    <row r="25" spans="1:16" ht="15" customHeight="1" x14ac:dyDescent="0.3">
      <c r="A25" s="6" t="s">
        <v>44</v>
      </c>
      <c r="B25" s="6" t="s">
        <v>14</v>
      </c>
      <c r="C25" s="7" t="s">
        <v>88</v>
      </c>
      <c r="D25" s="8"/>
      <c r="E25" s="8"/>
      <c r="F25" s="9" t="s">
        <v>85</v>
      </c>
      <c r="G25" s="10" t="s">
        <v>46</v>
      </c>
      <c r="J25" s="6" t="s">
        <v>47</v>
      </c>
      <c r="K25" s="6" t="s">
        <v>37</v>
      </c>
      <c r="L25" s="7" t="s">
        <v>112</v>
      </c>
      <c r="M25" s="8"/>
      <c r="N25" s="8"/>
      <c r="O25" s="9" t="s">
        <v>109</v>
      </c>
      <c r="P25" s="10" t="s">
        <v>46</v>
      </c>
    </row>
    <row r="26" spans="1:16" ht="15" customHeight="1" x14ac:dyDescent="0.3">
      <c r="A26" s="6" t="s">
        <v>48</v>
      </c>
      <c r="B26" s="6" t="s">
        <v>37</v>
      </c>
      <c r="C26" s="7" t="s">
        <v>85</v>
      </c>
      <c r="D26" s="8"/>
      <c r="E26" s="8"/>
      <c r="F26" s="9" t="s">
        <v>82</v>
      </c>
      <c r="G26" s="10" t="s">
        <v>46</v>
      </c>
      <c r="J26" s="6" t="s">
        <v>26</v>
      </c>
      <c r="K26" s="6" t="s">
        <v>49</v>
      </c>
      <c r="L26" s="7" t="s">
        <v>103</v>
      </c>
      <c r="M26" s="8"/>
      <c r="N26" s="8"/>
      <c r="O26" s="9" t="s">
        <v>112</v>
      </c>
      <c r="P26" s="10" t="s">
        <v>50</v>
      </c>
    </row>
    <row r="27" spans="1:16" ht="15" customHeight="1" x14ac:dyDescent="0.3">
      <c r="A27" s="6" t="s">
        <v>48</v>
      </c>
      <c r="B27" s="6" t="s">
        <v>14</v>
      </c>
      <c r="C27" s="7" t="s">
        <v>79</v>
      </c>
      <c r="D27" s="8"/>
      <c r="E27" s="8"/>
      <c r="F27" s="9" t="s">
        <v>88</v>
      </c>
      <c r="G27" s="10" t="s">
        <v>50</v>
      </c>
      <c r="J27" s="6" t="s">
        <v>51</v>
      </c>
      <c r="K27" s="6" t="s">
        <v>40</v>
      </c>
      <c r="L27" s="7" t="s">
        <v>109</v>
      </c>
      <c r="M27" s="8"/>
      <c r="N27" s="8"/>
      <c r="O27" s="9" t="s">
        <v>106</v>
      </c>
      <c r="P27" s="10" t="s">
        <v>45</v>
      </c>
    </row>
    <row r="28" spans="1:16" ht="15" customHeight="1" x14ac:dyDescent="0.3">
      <c r="A28" s="6" t="s">
        <v>28</v>
      </c>
      <c r="B28" s="6" t="s">
        <v>37</v>
      </c>
      <c r="C28" s="7" t="s">
        <v>85</v>
      </c>
      <c r="D28" s="8"/>
      <c r="E28" s="8"/>
      <c r="F28" s="9" t="s">
        <v>79</v>
      </c>
      <c r="G28" s="10" t="s">
        <v>38</v>
      </c>
      <c r="J28" s="6" t="s">
        <v>52</v>
      </c>
      <c r="K28" s="6" t="s">
        <v>11</v>
      </c>
      <c r="L28" s="7" t="s">
        <v>109</v>
      </c>
      <c r="M28" s="8"/>
      <c r="N28" s="8"/>
      <c r="O28" s="9" t="s">
        <v>103</v>
      </c>
      <c r="P28" s="10" t="s">
        <v>46</v>
      </c>
    </row>
    <row r="29" spans="1:16" ht="15" customHeight="1" x14ac:dyDescent="0.3">
      <c r="A29" s="6" t="s">
        <v>28</v>
      </c>
      <c r="B29" s="6" t="s">
        <v>37</v>
      </c>
      <c r="C29" s="7" t="s">
        <v>82</v>
      </c>
      <c r="D29" s="8"/>
      <c r="E29" s="8"/>
      <c r="F29" s="9" t="s">
        <v>88</v>
      </c>
      <c r="G29" s="10" t="s">
        <v>23</v>
      </c>
      <c r="J29" s="6" t="s">
        <v>52</v>
      </c>
      <c r="K29" s="6" t="s">
        <v>11</v>
      </c>
      <c r="L29" s="7" t="s">
        <v>106</v>
      </c>
      <c r="M29" s="8"/>
      <c r="N29" s="8"/>
      <c r="O29" s="9" t="s">
        <v>112</v>
      </c>
      <c r="P29" s="10" t="s">
        <v>34</v>
      </c>
    </row>
    <row r="31" spans="1:16" ht="15" customHeight="1" x14ac:dyDescent="0.3">
      <c r="A31" s="3" t="s">
        <v>53</v>
      </c>
      <c r="B31" s="4"/>
      <c r="C31" s="4"/>
      <c r="D31" s="4"/>
      <c r="E31" s="4"/>
      <c r="F31" s="4"/>
      <c r="G31" s="4"/>
      <c r="J31" s="3" t="s">
        <v>54</v>
      </c>
      <c r="K31" s="4"/>
      <c r="L31" s="4"/>
      <c r="M31" s="4"/>
      <c r="N31" s="4"/>
      <c r="O31" s="4"/>
      <c r="P31" s="4"/>
    </row>
    <row r="32" spans="1:16" ht="15" customHeight="1" x14ac:dyDescent="0.3">
      <c r="A32" s="5" t="s">
        <v>4</v>
      </c>
      <c r="B32" s="5" t="s">
        <v>5</v>
      </c>
      <c r="C32" s="5" t="s">
        <v>6</v>
      </c>
      <c r="D32" s="5" t="s">
        <v>7</v>
      </c>
      <c r="E32" s="5" t="s">
        <v>7</v>
      </c>
      <c r="F32" s="5" t="s">
        <v>8</v>
      </c>
      <c r="G32" s="5" t="s">
        <v>9</v>
      </c>
      <c r="J32" s="5" t="s">
        <v>4</v>
      </c>
      <c r="K32" s="5" t="s">
        <v>5</v>
      </c>
      <c r="L32" s="5" t="s">
        <v>6</v>
      </c>
      <c r="M32" s="5" t="s">
        <v>7</v>
      </c>
      <c r="N32" s="5" t="s">
        <v>7</v>
      </c>
      <c r="O32" s="5" t="s">
        <v>8</v>
      </c>
      <c r="P32" s="5" t="s">
        <v>9</v>
      </c>
    </row>
    <row r="33" spans="1:16" ht="15" customHeight="1" x14ac:dyDescent="0.3">
      <c r="A33" s="6" t="s">
        <v>35</v>
      </c>
      <c r="B33" s="6" t="s">
        <v>14</v>
      </c>
      <c r="C33" s="7" t="s">
        <v>89</v>
      </c>
      <c r="D33" s="8"/>
      <c r="E33" s="8"/>
      <c r="F33" s="9" t="s">
        <v>92</v>
      </c>
      <c r="G33" s="10" t="s">
        <v>15</v>
      </c>
      <c r="J33" s="6" t="s">
        <v>47</v>
      </c>
      <c r="K33" s="6" t="s">
        <v>14</v>
      </c>
      <c r="L33" s="7" t="s">
        <v>113</v>
      </c>
      <c r="M33" s="8"/>
      <c r="N33" s="8"/>
      <c r="O33" s="9" t="s">
        <v>119</v>
      </c>
      <c r="P33" s="10" t="s">
        <v>55</v>
      </c>
    </row>
    <row r="34" spans="1:16" ht="15" customHeight="1" x14ac:dyDescent="0.3">
      <c r="A34" s="6" t="s">
        <v>35</v>
      </c>
      <c r="B34" s="6" t="s">
        <v>56</v>
      </c>
      <c r="C34" s="7" t="s">
        <v>95</v>
      </c>
      <c r="D34" s="8"/>
      <c r="E34" s="8"/>
      <c r="F34" s="9" t="s">
        <v>98</v>
      </c>
      <c r="G34" s="10" t="s">
        <v>27</v>
      </c>
      <c r="J34" s="6" t="s">
        <v>13</v>
      </c>
      <c r="K34" s="6" t="s">
        <v>56</v>
      </c>
      <c r="L34" s="7" t="s">
        <v>116</v>
      </c>
      <c r="M34" s="8"/>
      <c r="N34" s="8"/>
      <c r="O34" s="9" t="s">
        <v>122</v>
      </c>
      <c r="P34" s="10" t="s">
        <v>36</v>
      </c>
    </row>
    <row r="35" spans="1:16" ht="15" customHeight="1" x14ac:dyDescent="0.3">
      <c r="A35" s="6" t="s">
        <v>25</v>
      </c>
      <c r="B35" s="6" t="s">
        <v>11</v>
      </c>
      <c r="C35" s="7" t="s">
        <v>89</v>
      </c>
      <c r="D35" s="8"/>
      <c r="E35" s="8"/>
      <c r="F35" s="9" t="s">
        <v>95</v>
      </c>
      <c r="G35" s="10" t="s">
        <v>20</v>
      </c>
      <c r="J35" s="6" t="s">
        <v>26</v>
      </c>
      <c r="K35" s="6" t="s">
        <v>57</v>
      </c>
      <c r="L35" s="7" t="s">
        <v>113</v>
      </c>
      <c r="M35" s="8"/>
      <c r="N35" s="8"/>
      <c r="O35" s="9" t="s">
        <v>116</v>
      </c>
      <c r="P35" s="10" t="s">
        <v>58</v>
      </c>
    </row>
    <row r="36" spans="1:16" ht="15" customHeight="1" x14ac:dyDescent="0.3">
      <c r="A36" s="6" t="s">
        <v>25</v>
      </c>
      <c r="B36" s="6" t="s">
        <v>56</v>
      </c>
      <c r="C36" s="7" t="s">
        <v>98</v>
      </c>
      <c r="D36" s="8"/>
      <c r="E36" s="8"/>
      <c r="F36" s="9" t="s">
        <v>92</v>
      </c>
      <c r="G36" s="10" t="s">
        <v>36</v>
      </c>
      <c r="J36" s="6" t="s">
        <v>51</v>
      </c>
      <c r="K36" s="6" t="s">
        <v>30</v>
      </c>
      <c r="L36" s="7" t="s">
        <v>122</v>
      </c>
      <c r="M36" s="8"/>
      <c r="N36" s="8"/>
      <c r="O36" s="9" t="s">
        <v>119</v>
      </c>
      <c r="P36" s="10" t="s">
        <v>36</v>
      </c>
    </row>
    <row r="37" spans="1:16" ht="15" customHeight="1" x14ac:dyDescent="0.3">
      <c r="A37" s="6" t="s">
        <v>52</v>
      </c>
      <c r="B37" s="6" t="s">
        <v>17</v>
      </c>
      <c r="C37" s="7" t="s">
        <v>98</v>
      </c>
      <c r="D37" s="8"/>
      <c r="E37" s="8"/>
      <c r="F37" s="9" t="s">
        <v>89</v>
      </c>
      <c r="G37" s="10" t="s">
        <v>15</v>
      </c>
      <c r="J37" s="6" t="s">
        <v>59</v>
      </c>
      <c r="K37" s="6" t="s">
        <v>17</v>
      </c>
      <c r="L37" s="7" t="s">
        <v>119</v>
      </c>
      <c r="M37" s="8"/>
      <c r="N37" s="8"/>
      <c r="O37" s="9" t="s">
        <v>116</v>
      </c>
      <c r="P37" s="10" t="s">
        <v>55</v>
      </c>
    </row>
    <row r="38" spans="1:16" ht="15" customHeight="1" x14ac:dyDescent="0.3">
      <c r="A38" s="6" t="s">
        <v>52</v>
      </c>
      <c r="B38" s="6" t="s">
        <v>17</v>
      </c>
      <c r="C38" s="7" t="s">
        <v>92</v>
      </c>
      <c r="D38" s="8"/>
      <c r="E38" s="8"/>
      <c r="F38" s="9" t="s">
        <v>95</v>
      </c>
      <c r="G38" s="10" t="s">
        <v>36</v>
      </c>
      <c r="J38" s="6" t="s">
        <v>59</v>
      </c>
      <c r="K38" s="6" t="s">
        <v>17</v>
      </c>
      <c r="L38" s="7" t="s">
        <v>122</v>
      </c>
      <c r="M38" s="8"/>
      <c r="N38" s="8"/>
      <c r="O38" s="9" t="s">
        <v>113</v>
      </c>
      <c r="P38" s="10" t="s">
        <v>58</v>
      </c>
    </row>
    <row r="40" spans="1:16" ht="15" customHeight="1" x14ac:dyDescent="0.3">
      <c r="A40" s="3" t="s">
        <v>60</v>
      </c>
      <c r="B40" s="4"/>
      <c r="C40" s="4"/>
      <c r="D40" s="4"/>
      <c r="E40" s="4"/>
      <c r="F40" s="4"/>
      <c r="G40" s="4"/>
      <c r="J40" s="3" t="s">
        <v>61</v>
      </c>
      <c r="K40" s="4"/>
      <c r="L40" s="4"/>
      <c r="M40" s="4"/>
      <c r="N40" s="4"/>
      <c r="O40" s="4"/>
      <c r="P40" s="4"/>
    </row>
    <row r="41" spans="1:16" ht="15" customHeight="1" x14ac:dyDescent="0.3">
      <c r="A41" s="5" t="s">
        <v>4</v>
      </c>
      <c r="B41" s="5" t="s">
        <v>5</v>
      </c>
      <c r="C41" s="5" t="s">
        <v>6</v>
      </c>
      <c r="D41" s="5" t="s">
        <v>7</v>
      </c>
      <c r="E41" s="5" t="s">
        <v>7</v>
      </c>
      <c r="F41" s="5" t="s">
        <v>8</v>
      </c>
      <c r="G41" s="5" t="s">
        <v>9</v>
      </c>
      <c r="J41" s="5" t="s">
        <v>4</v>
      </c>
      <c r="K41" s="5" t="s">
        <v>5</v>
      </c>
      <c r="L41" s="5" t="s">
        <v>6</v>
      </c>
      <c r="M41" s="5" t="s">
        <v>7</v>
      </c>
      <c r="N41" s="5" t="s">
        <v>7</v>
      </c>
      <c r="O41" s="5" t="s">
        <v>8</v>
      </c>
      <c r="P41" s="5" t="s">
        <v>9</v>
      </c>
    </row>
    <row r="42" spans="1:16" ht="15" customHeight="1" x14ac:dyDescent="0.3">
      <c r="A42" s="6" t="s">
        <v>44</v>
      </c>
      <c r="B42" s="6" t="s">
        <v>57</v>
      </c>
      <c r="C42" s="7" t="s">
        <v>90</v>
      </c>
      <c r="D42" s="8"/>
      <c r="E42" s="8"/>
      <c r="F42" s="9" t="s">
        <v>93</v>
      </c>
      <c r="G42" s="10" t="s">
        <v>41</v>
      </c>
      <c r="J42" s="6" t="s">
        <v>47</v>
      </c>
      <c r="K42" s="6" t="s">
        <v>57</v>
      </c>
      <c r="L42" s="7" t="s">
        <v>114</v>
      </c>
      <c r="M42" s="8"/>
      <c r="N42" s="8"/>
      <c r="O42" s="9" t="s">
        <v>123</v>
      </c>
      <c r="P42" s="10" t="s">
        <v>41</v>
      </c>
    </row>
    <row r="43" spans="1:16" ht="15" customHeight="1" x14ac:dyDescent="0.3">
      <c r="A43" s="6" t="s">
        <v>19</v>
      </c>
      <c r="B43" s="6" t="s">
        <v>62</v>
      </c>
      <c r="C43" s="7" t="s">
        <v>96</v>
      </c>
      <c r="D43" s="8"/>
      <c r="E43" s="8"/>
      <c r="F43" s="9" t="s">
        <v>99</v>
      </c>
      <c r="G43" s="10" t="s">
        <v>50</v>
      </c>
      <c r="J43" s="6" t="s">
        <v>21</v>
      </c>
      <c r="K43" s="6" t="s">
        <v>17</v>
      </c>
      <c r="L43" s="7" t="s">
        <v>120</v>
      </c>
      <c r="M43" s="8"/>
      <c r="N43" s="8"/>
      <c r="O43" s="9" t="s">
        <v>117</v>
      </c>
      <c r="P43" s="10" t="s">
        <v>12</v>
      </c>
    </row>
    <row r="44" spans="1:16" ht="15" customHeight="1" x14ac:dyDescent="0.3">
      <c r="A44" s="6" t="s">
        <v>48</v>
      </c>
      <c r="B44" s="6" t="s">
        <v>63</v>
      </c>
      <c r="C44" s="7" t="s">
        <v>90</v>
      </c>
      <c r="D44" s="8"/>
      <c r="E44" s="8"/>
      <c r="F44" s="9" t="s">
        <v>96</v>
      </c>
      <c r="G44" s="10" t="s">
        <v>34</v>
      </c>
      <c r="J44" s="6" t="s">
        <v>51</v>
      </c>
      <c r="K44" s="6" t="s">
        <v>57</v>
      </c>
      <c r="L44" s="7" t="s">
        <v>114</v>
      </c>
      <c r="M44" s="8"/>
      <c r="N44" s="8"/>
      <c r="O44" s="9" t="s">
        <v>120</v>
      </c>
      <c r="P44" s="10" t="s">
        <v>41</v>
      </c>
    </row>
    <row r="45" spans="1:16" ht="15" customHeight="1" x14ac:dyDescent="0.3">
      <c r="A45" s="6" t="s">
        <v>24</v>
      </c>
      <c r="B45" s="6" t="s">
        <v>40</v>
      </c>
      <c r="C45" s="7" t="s">
        <v>99</v>
      </c>
      <c r="D45" s="8"/>
      <c r="E45" s="8"/>
      <c r="F45" s="9" t="s">
        <v>93</v>
      </c>
      <c r="G45" s="10" t="s">
        <v>55</v>
      </c>
      <c r="J45" s="6" t="s">
        <v>39</v>
      </c>
      <c r="K45" s="6" t="s">
        <v>17</v>
      </c>
      <c r="L45" s="7" t="s">
        <v>117</v>
      </c>
      <c r="M45" s="8"/>
      <c r="N45" s="8"/>
      <c r="O45" s="9" t="s">
        <v>123</v>
      </c>
      <c r="P45" s="10" t="s">
        <v>18</v>
      </c>
    </row>
    <row r="46" spans="1:16" ht="15" customHeight="1" x14ac:dyDescent="0.3">
      <c r="A46" s="6" t="s">
        <v>28</v>
      </c>
      <c r="B46" s="6" t="s">
        <v>63</v>
      </c>
      <c r="C46" s="7" t="s">
        <v>99</v>
      </c>
      <c r="D46" s="8"/>
      <c r="E46" s="8"/>
      <c r="F46" s="9" t="s">
        <v>90</v>
      </c>
      <c r="G46" s="10" t="s">
        <v>45</v>
      </c>
      <c r="J46" s="6" t="s">
        <v>59</v>
      </c>
      <c r="K46" s="6" t="s">
        <v>64</v>
      </c>
      <c r="L46" s="7" t="s">
        <v>117</v>
      </c>
      <c r="M46" s="8"/>
      <c r="N46" s="8"/>
      <c r="O46" s="9" t="s">
        <v>114</v>
      </c>
      <c r="P46" s="10" t="s">
        <v>38</v>
      </c>
    </row>
    <row r="47" spans="1:16" ht="15" customHeight="1" x14ac:dyDescent="0.3">
      <c r="A47" s="6" t="s">
        <v>28</v>
      </c>
      <c r="B47" s="6" t="s">
        <v>63</v>
      </c>
      <c r="C47" s="7" t="s">
        <v>93</v>
      </c>
      <c r="D47" s="8"/>
      <c r="E47" s="8"/>
      <c r="F47" s="9" t="s">
        <v>96</v>
      </c>
      <c r="G47" s="10" t="s">
        <v>50</v>
      </c>
      <c r="J47" s="6" t="s">
        <v>59</v>
      </c>
      <c r="K47" s="6" t="s">
        <v>64</v>
      </c>
      <c r="L47" s="7" t="s">
        <v>123</v>
      </c>
      <c r="M47" s="8"/>
      <c r="N47" s="8"/>
      <c r="O47" s="9" t="s">
        <v>120</v>
      </c>
      <c r="P47" s="10" t="s">
        <v>23</v>
      </c>
    </row>
    <row r="49" spans="1:16" ht="15" customHeight="1" x14ac:dyDescent="0.3">
      <c r="A49" s="3" t="s">
        <v>65</v>
      </c>
      <c r="B49" s="4"/>
      <c r="C49" s="4"/>
      <c r="D49" s="4"/>
      <c r="E49" s="4"/>
      <c r="F49" s="4"/>
      <c r="G49" s="4"/>
      <c r="J49" s="3" t="s">
        <v>66</v>
      </c>
      <c r="K49" s="4"/>
      <c r="L49" s="4"/>
      <c r="M49" s="4"/>
      <c r="N49" s="4"/>
      <c r="O49" s="4"/>
      <c r="P49" s="4"/>
    </row>
    <row r="50" spans="1:16" ht="15" customHeight="1" x14ac:dyDescent="0.3">
      <c r="A50" s="5" t="s">
        <v>4</v>
      </c>
      <c r="B50" s="5" t="s">
        <v>5</v>
      </c>
      <c r="C50" s="5" t="s">
        <v>6</v>
      </c>
      <c r="D50" s="5" t="s">
        <v>7</v>
      </c>
      <c r="E50" s="5" t="s">
        <v>7</v>
      </c>
      <c r="F50" s="5" t="s">
        <v>8</v>
      </c>
      <c r="G50" s="5" t="s">
        <v>9</v>
      </c>
      <c r="J50" s="5" t="s">
        <v>4</v>
      </c>
      <c r="K50" s="5" t="s">
        <v>5</v>
      </c>
      <c r="L50" s="5" t="s">
        <v>6</v>
      </c>
      <c r="M50" s="5" t="s">
        <v>7</v>
      </c>
      <c r="N50" s="5" t="s">
        <v>7</v>
      </c>
      <c r="O50" s="5" t="s">
        <v>8</v>
      </c>
      <c r="P50" s="5" t="s">
        <v>9</v>
      </c>
    </row>
    <row r="51" spans="1:16" ht="15" customHeight="1" x14ac:dyDescent="0.3">
      <c r="A51" s="6" t="s">
        <v>44</v>
      </c>
      <c r="B51" s="6" t="s">
        <v>63</v>
      </c>
      <c r="C51" s="7" t="s">
        <v>91</v>
      </c>
      <c r="D51" s="8"/>
      <c r="E51" s="8"/>
      <c r="F51" s="9" t="s">
        <v>100</v>
      </c>
      <c r="G51" s="10" t="s">
        <v>58</v>
      </c>
      <c r="J51" s="6" t="s">
        <v>47</v>
      </c>
      <c r="K51" s="6" t="s">
        <v>63</v>
      </c>
      <c r="L51" s="7" t="s">
        <v>115</v>
      </c>
      <c r="M51" s="8"/>
      <c r="N51" s="8"/>
      <c r="O51" s="9" t="s">
        <v>118</v>
      </c>
      <c r="P51" s="10" t="s">
        <v>58</v>
      </c>
    </row>
    <row r="52" spans="1:16" ht="15" customHeight="1" x14ac:dyDescent="0.3">
      <c r="A52" s="6" t="s">
        <v>19</v>
      </c>
      <c r="B52" s="6" t="s">
        <v>17</v>
      </c>
      <c r="C52" s="7" t="s">
        <v>97</v>
      </c>
      <c r="D52" s="8"/>
      <c r="E52" s="8"/>
      <c r="F52" s="9" t="s">
        <v>94</v>
      </c>
      <c r="G52" s="10" t="s">
        <v>31</v>
      </c>
      <c r="J52" s="6" t="s">
        <v>21</v>
      </c>
      <c r="K52" s="6" t="s">
        <v>62</v>
      </c>
      <c r="L52" s="7" t="s">
        <v>121</v>
      </c>
      <c r="M52" s="8"/>
      <c r="N52" s="8"/>
      <c r="O52" s="9" t="s">
        <v>124</v>
      </c>
      <c r="P52" s="10" t="s">
        <v>34</v>
      </c>
    </row>
    <row r="53" spans="1:16" ht="15" customHeight="1" x14ac:dyDescent="0.3">
      <c r="A53" s="6" t="s">
        <v>48</v>
      </c>
      <c r="B53" s="6" t="s">
        <v>57</v>
      </c>
      <c r="C53" s="7" t="s">
        <v>91</v>
      </c>
      <c r="D53" s="8"/>
      <c r="E53" s="8"/>
      <c r="F53" s="9" t="s">
        <v>97</v>
      </c>
      <c r="G53" s="10" t="s">
        <v>41</v>
      </c>
      <c r="J53" s="6" t="s">
        <v>51</v>
      </c>
      <c r="K53" s="6" t="s">
        <v>63</v>
      </c>
      <c r="L53" s="7" t="s">
        <v>115</v>
      </c>
      <c r="M53" s="8"/>
      <c r="N53" s="8"/>
      <c r="O53" s="9" t="s">
        <v>121</v>
      </c>
      <c r="P53" s="10" t="s">
        <v>46</v>
      </c>
    </row>
    <row r="54" spans="1:16" ht="15" customHeight="1" x14ac:dyDescent="0.3">
      <c r="A54" s="6" t="s">
        <v>48</v>
      </c>
      <c r="B54" s="6" t="s">
        <v>56</v>
      </c>
      <c r="C54" s="7" t="s">
        <v>94</v>
      </c>
      <c r="D54" s="8"/>
      <c r="E54" s="8"/>
      <c r="F54" s="9" t="s">
        <v>100</v>
      </c>
      <c r="G54" s="10" t="s">
        <v>31</v>
      </c>
      <c r="J54" s="6" t="s">
        <v>39</v>
      </c>
      <c r="K54" s="6" t="s">
        <v>62</v>
      </c>
      <c r="L54" s="7" t="s">
        <v>124</v>
      </c>
      <c r="M54" s="8"/>
      <c r="N54" s="8"/>
      <c r="O54" s="9" t="s">
        <v>118</v>
      </c>
      <c r="P54" s="10" t="s">
        <v>34</v>
      </c>
    </row>
    <row r="55" spans="1:16" ht="15" customHeight="1" x14ac:dyDescent="0.3">
      <c r="A55" s="6" t="s">
        <v>52</v>
      </c>
      <c r="B55" s="6" t="s">
        <v>62</v>
      </c>
      <c r="C55" s="7" t="s">
        <v>100</v>
      </c>
      <c r="D55" s="8"/>
      <c r="E55" s="8"/>
      <c r="F55" s="9" t="s">
        <v>97</v>
      </c>
      <c r="G55" s="10" t="s">
        <v>58</v>
      </c>
      <c r="J55" s="6" t="s">
        <v>29</v>
      </c>
      <c r="K55" s="6" t="s">
        <v>49</v>
      </c>
      <c r="L55" s="7" t="s">
        <v>124</v>
      </c>
      <c r="M55" s="8"/>
      <c r="N55" s="8"/>
      <c r="O55" s="9" t="s">
        <v>115</v>
      </c>
      <c r="P55" s="10" t="s">
        <v>45</v>
      </c>
    </row>
    <row r="56" spans="1:16" ht="15" customHeight="1" x14ac:dyDescent="0.3">
      <c r="A56" s="6" t="s">
        <v>52</v>
      </c>
      <c r="B56" s="6" t="s">
        <v>62</v>
      </c>
      <c r="C56" s="7" t="s">
        <v>94</v>
      </c>
      <c r="D56" s="8"/>
      <c r="E56" s="8"/>
      <c r="F56" s="9" t="s">
        <v>91</v>
      </c>
      <c r="G56" s="10" t="s">
        <v>55</v>
      </c>
      <c r="J56" s="6" t="s">
        <v>29</v>
      </c>
      <c r="K56" s="6" t="s">
        <v>49</v>
      </c>
      <c r="L56" s="7" t="s">
        <v>118</v>
      </c>
      <c r="M56" s="8"/>
      <c r="N56" s="8"/>
      <c r="O56" s="9" t="s">
        <v>121</v>
      </c>
      <c r="P56" s="10" t="s">
        <v>50</v>
      </c>
    </row>
    <row r="60" spans="1:16" x14ac:dyDescent="0.3">
      <c r="A60" s="34" t="s">
        <v>298</v>
      </c>
    </row>
    <row r="61" spans="1:16" x14ac:dyDescent="0.3">
      <c r="A61" s="35" t="s">
        <v>299</v>
      </c>
    </row>
  </sheetData>
  <hyperlinks>
    <hyperlink ref="A60" r:id="rId1" display="Modèle gratuit créé par Le Dojo Club" xr:uid="{4739A52B-B7E1-462F-91C8-68605A507BDF}"/>
    <hyperlink ref="A61" r:id="rId2" xr:uid="{C325C1C5-2CA1-47A0-9ACA-D3182B1FCAD9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9"/>
  <sheetViews>
    <sheetView showGridLines="0" topLeftCell="A24" zoomScaleNormal="100" workbookViewId="0">
      <selection activeCell="A50" sqref="A50:A54"/>
    </sheetView>
  </sheetViews>
  <sheetFormatPr baseColWidth="10" defaultColWidth="8.6640625" defaultRowHeight="14.4" x14ac:dyDescent="0.3"/>
  <cols>
    <col min="1" max="2" width="19" customWidth="1"/>
    <col min="3" max="10" width="4.44140625" customWidth="1"/>
    <col min="12" max="12" width="19" customWidth="1"/>
    <col min="13" max="21" width="4.44140625" customWidth="1"/>
    <col min="23" max="23" width="19" customWidth="1"/>
    <col min="24" max="32" width="4.44140625" customWidth="1"/>
  </cols>
  <sheetData>
    <row r="1" spans="1:32" ht="18" customHeight="1" x14ac:dyDescent="0.35">
      <c r="A1" s="1" t="s">
        <v>296</v>
      </c>
    </row>
    <row r="3" spans="1:32" ht="15" customHeight="1" x14ac:dyDescent="0.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L3" s="3" t="s">
        <v>32</v>
      </c>
      <c r="M3" s="4"/>
      <c r="N3" s="4"/>
      <c r="O3" s="4"/>
      <c r="P3" s="4"/>
      <c r="Q3" s="4"/>
      <c r="R3" s="4"/>
      <c r="S3" s="4"/>
      <c r="T3" s="4"/>
      <c r="U3" s="4"/>
      <c r="W3" s="3" t="s">
        <v>42</v>
      </c>
      <c r="X3" s="4"/>
      <c r="Y3" s="4"/>
      <c r="Z3" s="4"/>
      <c r="AA3" s="4"/>
      <c r="AB3" s="4"/>
      <c r="AC3" s="4"/>
      <c r="AD3" s="4"/>
      <c r="AE3" s="4"/>
      <c r="AF3" s="4"/>
    </row>
    <row r="4" spans="1:32" ht="15" customHeight="1" x14ac:dyDescent="0.3">
      <c r="A4" s="5" t="s">
        <v>67</v>
      </c>
      <c r="B4" s="5" t="s">
        <v>68</v>
      </c>
      <c r="C4" s="5" t="s">
        <v>69</v>
      </c>
      <c r="D4" s="5" t="s">
        <v>70</v>
      </c>
      <c r="E4" s="5" t="s">
        <v>71</v>
      </c>
      <c r="F4" s="5" t="s">
        <v>72</v>
      </c>
      <c r="G4" s="5" t="s">
        <v>73</v>
      </c>
      <c r="H4" s="5" t="s">
        <v>74</v>
      </c>
      <c r="I4" s="5" t="s">
        <v>75</v>
      </c>
      <c r="J4" s="5" t="s">
        <v>76</v>
      </c>
      <c r="L4" s="5" t="s">
        <v>67</v>
      </c>
      <c r="M4" s="5" t="s">
        <v>68</v>
      </c>
      <c r="N4" s="5" t="s">
        <v>69</v>
      </c>
      <c r="O4" s="5" t="s">
        <v>70</v>
      </c>
      <c r="P4" s="5" t="s">
        <v>71</v>
      </c>
      <c r="Q4" s="5" t="s">
        <v>72</v>
      </c>
      <c r="R4" s="5" t="s">
        <v>73</v>
      </c>
      <c r="S4" s="5" t="s">
        <v>74</v>
      </c>
      <c r="T4" s="5" t="s">
        <v>75</v>
      </c>
      <c r="U4" s="5" t="s">
        <v>76</v>
      </c>
      <c r="W4" s="5" t="s">
        <v>67</v>
      </c>
      <c r="X4" s="5" t="s">
        <v>68</v>
      </c>
      <c r="Y4" s="5" t="s">
        <v>69</v>
      </c>
      <c r="Z4" s="5" t="s">
        <v>70</v>
      </c>
      <c r="AA4" s="5" t="s">
        <v>71</v>
      </c>
      <c r="AB4" s="5" t="s">
        <v>72</v>
      </c>
      <c r="AC4" s="5" t="s">
        <v>73</v>
      </c>
      <c r="AD4" s="5" t="s">
        <v>74</v>
      </c>
      <c r="AE4" s="5" t="s">
        <v>75</v>
      </c>
      <c r="AF4" s="5" t="s">
        <v>76</v>
      </c>
    </row>
    <row r="5" spans="1:32" ht="15" customHeight="1" x14ac:dyDescent="0.3">
      <c r="A5" s="11" t="s">
        <v>77</v>
      </c>
      <c r="B5" s="6">
        <f>C5+D5+E5</f>
        <v>0</v>
      </c>
      <c r="C5" s="6">
        <f>SUMPRODUCT((Matchs!C6:C11=A5)*(Matchs!D6:D11&gt;Matchs!E6:E11)*ISNUMBER(Matchs!D6:D11)*ISNUMBER(Matchs!E6:E11))+SUMPRODUCT((Matchs!F6:F11=A5)*(Matchs!E6:E11&gt;Matchs!D6:D11)*ISNUMBER(Matchs!D6:D11)*ISNUMBER(Matchs!E6:E11))</f>
        <v>0</v>
      </c>
      <c r="D5" s="6">
        <f>SUMPRODUCT((Matchs!C6:C11=A5)*(Matchs!D6:D11=Matchs!E6:E11)*ISNUMBER(Matchs!D6:D11)*ISNUMBER(Matchs!E6:E11))+SUMPRODUCT((Matchs!F6:F11=A5)*(Matchs!E6:E11=Matchs!D6:D11)*ISNUMBER(Matchs!D6:D11)*ISNUMBER(Matchs!E6:E11))</f>
        <v>0</v>
      </c>
      <c r="E5" s="6">
        <f>SUMPRODUCT((Matchs!C6:C11=A5)*(Matchs!D6:D11&lt;Matchs!E6:E11)*ISNUMBER(Matchs!D6:D11)*ISNUMBER(Matchs!E6:E11))+SUMPRODUCT((Matchs!F6:F11=A5)*(Matchs!E6:E11&lt;Matchs!D6:D11)*ISNUMBER(Matchs!D6:D11)*ISNUMBER(Matchs!E6:E11))</f>
        <v>0</v>
      </c>
      <c r="F5" s="6">
        <f>SUMIF(Matchs!C6:C11,A5,Matchs!D6:D11)+SUMIF(Matchs!F6:F11,A5,Matchs!E6:E11)</f>
        <v>0</v>
      </c>
      <c r="G5" s="6">
        <f>SUMIF(Matchs!C6:C11,A5,Matchs!E6:E11)+SUMIF(Matchs!F6:F11,A5,Matchs!D6:D11)</f>
        <v>0</v>
      </c>
      <c r="H5" s="6">
        <f>F5-G5</f>
        <v>0</v>
      </c>
      <c r="I5" s="12">
        <f>3*C5+D5</f>
        <v>0</v>
      </c>
      <c r="J5" s="13">
        <f>SUMPRODUCT(--(Aux!A2:A5&gt;Aux!A2))+1</f>
        <v>1</v>
      </c>
      <c r="L5" s="11" t="s">
        <v>78</v>
      </c>
      <c r="M5" s="6">
        <f>N5+O5+P5</f>
        <v>0</v>
      </c>
      <c r="N5" s="6">
        <f>SUMPRODUCT((Matchs!C15:C20=L5)*(Matchs!D15:D20&gt;Matchs!E15:E20)*ISNUMBER(Matchs!D15:D20)*ISNUMBER(Matchs!E15:E20))+SUMPRODUCT((Matchs!F15:F20=L5)*(Matchs!E15:E20&gt;Matchs!D15:D20)*ISNUMBER(Matchs!D15:D20)*ISNUMBER(Matchs!E15:E20))</f>
        <v>0</v>
      </c>
      <c r="O5" s="6">
        <f>SUMPRODUCT((Matchs!C15:C20=L5)*(Matchs!D15:D20=Matchs!E15:E20)*ISNUMBER(Matchs!D15:D20)*ISNUMBER(Matchs!E15:E20))+SUMPRODUCT((Matchs!F15:F20=L5)*(Matchs!E15:E20=Matchs!D15:D20)*ISNUMBER(Matchs!D15:D20)*ISNUMBER(Matchs!E15:E20))</f>
        <v>0</v>
      </c>
      <c r="P5" s="6">
        <f>SUMPRODUCT((Matchs!C15:C20=L5)*(Matchs!D15:D20&lt;Matchs!E15:E20)*ISNUMBER(Matchs!D15:D20)*ISNUMBER(Matchs!E15:E20))+SUMPRODUCT((Matchs!F15:F20=L5)*(Matchs!E15:E20&lt;Matchs!D15:D20)*ISNUMBER(Matchs!D15:D20)*ISNUMBER(Matchs!E15:E20))</f>
        <v>0</v>
      </c>
      <c r="Q5" s="6">
        <f>SUMIF(Matchs!C15:C20,L5,Matchs!D15:D20)+SUMIF(Matchs!F15:F20,L5,Matchs!E15:E20)</f>
        <v>0</v>
      </c>
      <c r="R5" s="6">
        <f>SUMIF(Matchs!C15:C20,L5,Matchs!E15:E20)+SUMIF(Matchs!F15:F20,L5,Matchs!D15:D20)</f>
        <v>0</v>
      </c>
      <c r="S5" s="6">
        <f>Q5-R5</f>
        <v>0</v>
      </c>
      <c r="T5" s="12">
        <f>3*N5+O5</f>
        <v>0</v>
      </c>
      <c r="U5" s="13">
        <f>SUMPRODUCT(--(Aux!B2:B5&gt;Aux!B2))+1</f>
        <v>1</v>
      </c>
      <c r="W5" s="11" t="s">
        <v>79</v>
      </c>
      <c r="X5" s="6">
        <f>Y5+Z5+AA5</f>
        <v>0</v>
      </c>
      <c r="Y5" s="6">
        <f>SUMPRODUCT((Matchs!C24:C29=W5)*(Matchs!D24:D29&gt;Matchs!E24:E29)*ISNUMBER(Matchs!D24:D29)*ISNUMBER(Matchs!E24:E29))+SUMPRODUCT((Matchs!F24:F29=W5)*(Matchs!E24:E29&gt;Matchs!D24:D29)*ISNUMBER(Matchs!D24:D29)*ISNUMBER(Matchs!E24:E29))</f>
        <v>0</v>
      </c>
      <c r="Z5" s="6">
        <f>SUMPRODUCT((Matchs!C24:C29=W5)*(Matchs!D24:D29=Matchs!E24:E29)*ISNUMBER(Matchs!D24:D29)*ISNUMBER(Matchs!E24:E29))+SUMPRODUCT((Matchs!F24:F29=W5)*(Matchs!E24:E29=Matchs!D24:D29)*ISNUMBER(Matchs!D24:D29)*ISNUMBER(Matchs!E24:E29))</f>
        <v>0</v>
      </c>
      <c r="AA5" s="6">
        <f>SUMPRODUCT((Matchs!C24:C29=W5)*(Matchs!D24:D29&lt;Matchs!E24:E29)*ISNUMBER(Matchs!D24:D29)*ISNUMBER(Matchs!E24:E29))+SUMPRODUCT((Matchs!F24:F29=W5)*(Matchs!E24:E29&lt;Matchs!D24:D29)*ISNUMBER(Matchs!D24:D29)*ISNUMBER(Matchs!E24:E29))</f>
        <v>0</v>
      </c>
      <c r="AB5" s="6">
        <f>SUMIF(Matchs!C24:C29,W5,Matchs!D24:D29)+SUMIF(Matchs!F24:F29,W5,Matchs!E24:E29)</f>
        <v>0</v>
      </c>
      <c r="AC5" s="6">
        <f>SUMIF(Matchs!C24:C29,W5,Matchs!E24:E29)+SUMIF(Matchs!F24:F29,W5,Matchs!D24:D29)</f>
        <v>0</v>
      </c>
      <c r="AD5" s="6">
        <f>AB5-AC5</f>
        <v>0</v>
      </c>
      <c r="AE5" s="12">
        <f>3*Y5+Z5</f>
        <v>0</v>
      </c>
      <c r="AF5" s="13">
        <f>SUMPRODUCT(--(Aux!C2:C5&gt;Aux!C2))+1</f>
        <v>1</v>
      </c>
    </row>
    <row r="6" spans="1:32" ht="15" customHeight="1" x14ac:dyDescent="0.3">
      <c r="A6" s="11" t="s">
        <v>80</v>
      </c>
      <c r="B6" s="6">
        <f>C6+D6+E6</f>
        <v>0</v>
      </c>
      <c r="C6" s="6">
        <f>SUMPRODUCT((Matchs!C6:C11=A6)*(Matchs!D6:D11&gt;Matchs!E6:E11)*ISNUMBER(Matchs!D6:D11)*ISNUMBER(Matchs!E6:E11))+SUMPRODUCT((Matchs!F6:F11=A6)*(Matchs!E6:E11&gt;Matchs!D6:D11)*ISNUMBER(Matchs!D6:D11)*ISNUMBER(Matchs!E6:E11))</f>
        <v>0</v>
      </c>
      <c r="D6" s="6">
        <f>SUMPRODUCT((Matchs!C6:C11=A6)*(Matchs!D6:D11=Matchs!E6:E11)*ISNUMBER(Matchs!D6:D11)*ISNUMBER(Matchs!E6:E11))+SUMPRODUCT((Matchs!F6:F11=A6)*(Matchs!E6:E11=Matchs!D6:D11)*ISNUMBER(Matchs!D6:D11)*ISNUMBER(Matchs!E6:E11))</f>
        <v>0</v>
      </c>
      <c r="E6" s="6">
        <f>SUMPRODUCT((Matchs!C6:C11=A6)*(Matchs!D6:D11&lt;Matchs!E6:E11)*ISNUMBER(Matchs!D6:D11)*ISNUMBER(Matchs!E6:E11))+SUMPRODUCT((Matchs!F6:F11=A6)*(Matchs!E6:E11&lt;Matchs!D6:D11)*ISNUMBER(Matchs!D6:D11)*ISNUMBER(Matchs!E6:E11))</f>
        <v>0</v>
      </c>
      <c r="F6" s="6">
        <f>SUMIF(Matchs!C6:C11,A6,Matchs!D6:D11)+SUMIF(Matchs!F6:F11,A6,Matchs!E6:E11)</f>
        <v>0</v>
      </c>
      <c r="G6" s="6">
        <f>SUMIF(Matchs!C6:C11,A6,Matchs!E6:E11)+SUMIF(Matchs!F6:F11,A6,Matchs!D6:D11)</f>
        <v>0</v>
      </c>
      <c r="H6" s="6">
        <f>F6-G6</f>
        <v>0</v>
      </c>
      <c r="I6" s="12">
        <f>3*C6+D6</f>
        <v>0</v>
      </c>
      <c r="J6" s="13">
        <f>SUMPRODUCT(--(Aux!A2:A5&gt;Aux!A3))+1</f>
        <v>2</v>
      </c>
      <c r="L6" s="11" t="s">
        <v>81</v>
      </c>
      <c r="M6" s="6">
        <f>N6+O6+P6</f>
        <v>0</v>
      </c>
      <c r="N6" s="6">
        <f>SUMPRODUCT((Matchs!C15:C20=L6)*(Matchs!D15:D20&gt;Matchs!E15:E20)*ISNUMBER(Matchs!D15:D20)*ISNUMBER(Matchs!E15:E20))+SUMPRODUCT((Matchs!F15:F20=L6)*(Matchs!E15:E20&gt;Matchs!D15:D20)*ISNUMBER(Matchs!D15:D20)*ISNUMBER(Matchs!E15:E20))</f>
        <v>0</v>
      </c>
      <c r="O6" s="6">
        <f>SUMPRODUCT((Matchs!C15:C20=L6)*(Matchs!D15:D20=Matchs!E15:E20)*ISNUMBER(Matchs!D15:D20)*ISNUMBER(Matchs!E15:E20))+SUMPRODUCT((Matchs!F15:F20=L6)*(Matchs!E15:E20=Matchs!D15:D20)*ISNUMBER(Matchs!D15:D20)*ISNUMBER(Matchs!E15:E20))</f>
        <v>0</v>
      </c>
      <c r="P6" s="6">
        <f>SUMPRODUCT((Matchs!C15:C20=L6)*(Matchs!D15:D20&lt;Matchs!E15:E20)*ISNUMBER(Matchs!D15:D20)*ISNUMBER(Matchs!E15:E20))+SUMPRODUCT((Matchs!F15:F20=L6)*(Matchs!E15:E20&lt;Matchs!D15:D20)*ISNUMBER(Matchs!D15:D20)*ISNUMBER(Matchs!E15:E20))</f>
        <v>0</v>
      </c>
      <c r="Q6" s="6">
        <f>SUMIF(Matchs!C15:C20,L6,Matchs!D15:D20)+SUMIF(Matchs!F15:F20,L6,Matchs!E15:E20)</f>
        <v>0</v>
      </c>
      <c r="R6" s="6">
        <f>SUMIF(Matchs!C15:C20,L6,Matchs!E15:E20)+SUMIF(Matchs!F15:F20,L6,Matchs!D15:D20)</f>
        <v>0</v>
      </c>
      <c r="S6" s="6">
        <f>Q6-R6</f>
        <v>0</v>
      </c>
      <c r="T6" s="12">
        <f>3*N6+O6</f>
        <v>0</v>
      </c>
      <c r="U6" s="13">
        <f>SUMPRODUCT(--(Aux!B2:B5&gt;Aux!B3))+1</f>
        <v>2</v>
      </c>
      <c r="W6" s="11" t="s">
        <v>82</v>
      </c>
      <c r="X6" s="6">
        <f>Y6+Z6+AA6</f>
        <v>0</v>
      </c>
      <c r="Y6" s="6">
        <f>SUMPRODUCT((Matchs!C24:C29=W6)*(Matchs!D24:D29&gt;Matchs!E24:E29)*ISNUMBER(Matchs!D24:D29)*ISNUMBER(Matchs!E24:E29))+SUMPRODUCT((Matchs!F24:F29=W6)*(Matchs!E24:E29&gt;Matchs!D24:D29)*ISNUMBER(Matchs!D24:D29)*ISNUMBER(Matchs!E24:E29))</f>
        <v>0</v>
      </c>
      <c r="Z6" s="6">
        <f>SUMPRODUCT((Matchs!C24:C29=W6)*(Matchs!D24:D29=Matchs!E24:E29)*ISNUMBER(Matchs!D24:D29)*ISNUMBER(Matchs!E24:E29))+SUMPRODUCT((Matchs!F24:F29=W6)*(Matchs!E24:E29=Matchs!D24:D29)*ISNUMBER(Matchs!D24:D29)*ISNUMBER(Matchs!E24:E29))</f>
        <v>0</v>
      </c>
      <c r="AA6" s="6">
        <f>SUMPRODUCT((Matchs!C24:C29=W6)*(Matchs!D24:D29&lt;Matchs!E24:E29)*ISNUMBER(Matchs!D24:D29)*ISNUMBER(Matchs!E24:E29))+SUMPRODUCT((Matchs!F24:F29=W6)*(Matchs!E24:E29&lt;Matchs!D24:D29)*ISNUMBER(Matchs!D24:D29)*ISNUMBER(Matchs!E24:E29))</f>
        <v>0</v>
      </c>
      <c r="AB6" s="6">
        <f>SUMIF(Matchs!C24:C29,W6,Matchs!D24:D29)+SUMIF(Matchs!F24:F29,W6,Matchs!E24:E29)</f>
        <v>0</v>
      </c>
      <c r="AC6" s="6">
        <f>SUMIF(Matchs!C24:C29,W6,Matchs!E24:E29)+SUMIF(Matchs!F24:F29,W6,Matchs!D24:D29)</f>
        <v>0</v>
      </c>
      <c r="AD6" s="6">
        <f>AB6-AC6</f>
        <v>0</v>
      </c>
      <c r="AE6" s="12">
        <f>3*Y6+Z6</f>
        <v>0</v>
      </c>
      <c r="AF6" s="13">
        <f>SUMPRODUCT(--(Aux!C2:C5&gt;Aux!C3))+1</f>
        <v>2</v>
      </c>
    </row>
    <row r="7" spans="1:32" ht="15" customHeight="1" x14ac:dyDescent="0.3">
      <c r="A7" s="11" t="s">
        <v>83</v>
      </c>
      <c r="B7" s="6">
        <f>C7+D7+E7</f>
        <v>0</v>
      </c>
      <c r="C7" s="6">
        <f>SUMPRODUCT((Matchs!C6:C11=A7)*(Matchs!D6:D11&gt;Matchs!E6:E11)*ISNUMBER(Matchs!D6:D11)*ISNUMBER(Matchs!E6:E11))+SUMPRODUCT((Matchs!F6:F11=A7)*(Matchs!E6:E11&gt;Matchs!D6:D11)*ISNUMBER(Matchs!D6:D11)*ISNUMBER(Matchs!E6:E11))</f>
        <v>0</v>
      </c>
      <c r="D7" s="6">
        <f>SUMPRODUCT((Matchs!C6:C11=A7)*(Matchs!D6:D11=Matchs!E6:E11)*ISNUMBER(Matchs!D6:D11)*ISNUMBER(Matchs!E6:E11))+SUMPRODUCT((Matchs!F6:F11=A7)*(Matchs!E6:E11=Matchs!D6:D11)*ISNUMBER(Matchs!D6:D11)*ISNUMBER(Matchs!E6:E11))</f>
        <v>0</v>
      </c>
      <c r="E7" s="6">
        <f>SUMPRODUCT((Matchs!C6:C11=A7)*(Matchs!D6:D11&lt;Matchs!E6:E11)*ISNUMBER(Matchs!D6:D11)*ISNUMBER(Matchs!E6:E11))+SUMPRODUCT((Matchs!F6:F11=A7)*(Matchs!E6:E11&lt;Matchs!D6:D11)*ISNUMBER(Matchs!D6:D11)*ISNUMBER(Matchs!E6:E11))</f>
        <v>0</v>
      </c>
      <c r="F7" s="6">
        <f>SUMIF(Matchs!C6:C11,A7,Matchs!D6:D11)+SUMIF(Matchs!F6:F11,A7,Matchs!E6:E11)</f>
        <v>0</v>
      </c>
      <c r="G7" s="6">
        <f>SUMIF(Matchs!C6:C11,A7,Matchs!E6:E11)+SUMIF(Matchs!F6:F11,A7,Matchs!D6:D11)</f>
        <v>0</v>
      </c>
      <c r="H7" s="6">
        <f>F7-G7</f>
        <v>0</v>
      </c>
      <c r="I7" s="12">
        <f>3*C7+D7</f>
        <v>0</v>
      </c>
      <c r="J7" s="13">
        <f>SUMPRODUCT(--(Aux!A2:A5&gt;Aux!A4))+1</f>
        <v>3</v>
      </c>
      <c r="L7" s="11" t="s">
        <v>84</v>
      </c>
      <c r="M7" s="6">
        <f>N7+O7+P7</f>
        <v>0</v>
      </c>
      <c r="N7" s="6">
        <f>SUMPRODUCT((Matchs!C15:C20=L7)*(Matchs!D15:D20&gt;Matchs!E15:E20)*ISNUMBER(Matchs!D15:D20)*ISNUMBER(Matchs!E15:E20))+SUMPRODUCT((Matchs!F15:F20=L7)*(Matchs!E15:E20&gt;Matchs!D15:D20)*ISNUMBER(Matchs!D15:D20)*ISNUMBER(Matchs!E15:E20))</f>
        <v>0</v>
      </c>
      <c r="O7" s="6">
        <f>SUMPRODUCT((Matchs!C15:C20=L7)*(Matchs!D15:D20=Matchs!E15:E20)*ISNUMBER(Matchs!D15:D20)*ISNUMBER(Matchs!E15:E20))+SUMPRODUCT((Matchs!F15:F20=L7)*(Matchs!E15:E20=Matchs!D15:D20)*ISNUMBER(Matchs!D15:D20)*ISNUMBER(Matchs!E15:E20))</f>
        <v>0</v>
      </c>
      <c r="P7" s="6">
        <f>SUMPRODUCT((Matchs!C15:C20=L7)*(Matchs!D15:D20&lt;Matchs!E15:E20)*ISNUMBER(Matchs!D15:D20)*ISNUMBER(Matchs!E15:E20))+SUMPRODUCT((Matchs!F15:F20=L7)*(Matchs!E15:E20&lt;Matchs!D15:D20)*ISNUMBER(Matchs!D15:D20)*ISNUMBER(Matchs!E15:E20))</f>
        <v>0</v>
      </c>
      <c r="Q7" s="6">
        <f>SUMIF(Matchs!C15:C20,L7,Matchs!D15:D20)+SUMIF(Matchs!F15:F20,L7,Matchs!E15:E20)</f>
        <v>0</v>
      </c>
      <c r="R7" s="6">
        <f>SUMIF(Matchs!C15:C20,L7,Matchs!E15:E20)+SUMIF(Matchs!F15:F20,L7,Matchs!D15:D20)</f>
        <v>0</v>
      </c>
      <c r="S7" s="6">
        <f>Q7-R7</f>
        <v>0</v>
      </c>
      <c r="T7" s="12">
        <f>3*N7+O7</f>
        <v>0</v>
      </c>
      <c r="U7" s="13">
        <f>SUMPRODUCT(--(Aux!B2:B5&gt;Aux!B4))+1</f>
        <v>3</v>
      </c>
      <c r="W7" s="11" t="s">
        <v>85</v>
      </c>
      <c r="X7" s="6">
        <f>Y7+Z7+AA7</f>
        <v>0</v>
      </c>
      <c r="Y7" s="6">
        <f>SUMPRODUCT((Matchs!C24:C29=W7)*(Matchs!D24:D29&gt;Matchs!E24:E29)*ISNUMBER(Matchs!D24:D29)*ISNUMBER(Matchs!E24:E29))+SUMPRODUCT((Matchs!F24:F29=W7)*(Matchs!E24:E29&gt;Matchs!D24:D29)*ISNUMBER(Matchs!D24:D29)*ISNUMBER(Matchs!E24:E29))</f>
        <v>0</v>
      </c>
      <c r="Z7" s="6">
        <f>SUMPRODUCT((Matchs!C24:C29=W7)*(Matchs!D24:D29=Matchs!E24:E29)*ISNUMBER(Matchs!D24:D29)*ISNUMBER(Matchs!E24:E29))+SUMPRODUCT((Matchs!F24:F29=W7)*(Matchs!E24:E29=Matchs!D24:D29)*ISNUMBER(Matchs!D24:D29)*ISNUMBER(Matchs!E24:E29))</f>
        <v>0</v>
      </c>
      <c r="AA7" s="6">
        <f>SUMPRODUCT((Matchs!C24:C29=W7)*(Matchs!D24:D29&lt;Matchs!E24:E29)*ISNUMBER(Matchs!D24:D29)*ISNUMBER(Matchs!E24:E29))+SUMPRODUCT((Matchs!F24:F29=W7)*(Matchs!E24:E29&lt;Matchs!D24:D29)*ISNUMBER(Matchs!D24:D29)*ISNUMBER(Matchs!E24:E29))</f>
        <v>0</v>
      </c>
      <c r="AB7" s="6">
        <f>SUMIF(Matchs!C24:C29,W7,Matchs!D24:D29)+SUMIF(Matchs!F24:F29,W7,Matchs!E24:E29)</f>
        <v>0</v>
      </c>
      <c r="AC7" s="6">
        <f>SUMIF(Matchs!C24:C29,W7,Matchs!E24:E29)+SUMIF(Matchs!F24:F29,W7,Matchs!D24:D29)</f>
        <v>0</v>
      </c>
      <c r="AD7" s="6">
        <f>AB7-AC7</f>
        <v>0</v>
      </c>
      <c r="AE7" s="12">
        <f>3*Y7+Z7</f>
        <v>0</v>
      </c>
      <c r="AF7" s="13">
        <f>SUMPRODUCT(--(Aux!C2:C5&gt;Aux!C4))+1</f>
        <v>3</v>
      </c>
    </row>
    <row r="8" spans="1:32" ht="15" customHeight="1" x14ac:dyDescent="0.3">
      <c r="A8" s="11" t="s">
        <v>86</v>
      </c>
      <c r="B8" s="6">
        <f>C8+D8+E8</f>
        <v>0</v>
      </c>
      <c r="C8" s="6">
        <f>SUMPRODUCT((Matchs!C6:C11=A8)*(Matchs!D6:D11&gt;Matchs!E6:E11)*ISNUMBER(Matchs!D6:D11)*ISNUMBER(Matchs!E6:E11))+SUMPRODUCT((Matchs!F6:F11=A8)*(Matchs!E6:E11&gt;Matchs!D6:D11)*ISNUMBER(Matchs!D6:D11)*ISNUMBER(Matchs!E6:E11))</f>
        <v>0</v>
      </c>
      <c r="D8" s="6">
        <f>SUMPRODUCT((Matchs!C6:C11=A8)*(Matchs!D6:D11=Matchs!E6:E11)*ISNUMBER(Matchs!D6:D11)*ISNUMBER(Matchs!E6:E11))+SUMPRODUCT((Matchs!F6:F11=A8)*(Matchs!E6:E11=Matchs!D6:D11)*ISNUMBER(Matchs!D6:D11)*ISNUMBER(Matchs!E6:E11))</f>
        <v>0</v>
      </c>
      <c r="E8" s="6">
        <f>SUMPRODUCT((Matchs!C6:C11=A8)*(Matchs!D6:D11&lt;Matchs!E6:E11)*ISNUMBER(Matchs!D6:D11)*ISNUMBER(Matchs!E6:E11))+SUMPRODUCT((Matchs!F6:F11=A8)*(Matchs!E6:E11&lt;Matchs!D6:D11)*ISNUMBER(Matchs!D6:D11)*ISNUMBER(Matchs!E6:E11))</f>
        <v>0</v>
      </c>
      <c r="F8" s="6">
        <f>SUMIF(Matchs!C6:C11,A8,Matchs!D6:D11)+SUMIF(Matchs!F6:F11,A8,Matchs!E6:E11)</f>
        <v>0</v>
      </c>
      <c r="G8" s="6">
        <f>SUMIF(Matchs!C6:C11,A8,Matchs!E6:E11)+SUMIF(Matchs!F6:F11,A8,Matchs!D6:D11)</f>
        <v>0</v>
      </c>
      <c r="H8" s="6">
        <f>F8-G8</f>
        <v>0</v>
      </c>
      <c r="I8" s="12">
        <f>3*C8+D8</f>
        <v>0</v>
      </c>
      <c r="J8" s="13">
        <f>SUMPRODUCT(--(Aux!A2:A5&gt;Aux!A5))+1</f>
        <v>4</v>
      </c>
      <c r="L8" s="11" t="s">
        <v>87</v>
      </c>
      <c r="M8" s="6">
        <f>N8+O8+P8</f>
        <v>0</v>
      </c>
      <c r="N8" s="6">
        <f>SUMPRODUCT((Matchs!C15:C20=L8)*(Matchs!D15:D20&gt;Matchs!E15:E20)*ISNUMBER(Matchs!D15:D20)*ISNUMBER(Matchs!E15:E20))+SUMPRODUCT((Matchs!F15:F20=L8)*(Matchs!E15:E20&gt;Matchs!D15:D20)*ISNUMBER(Matchs!D15:D20)*ISNUMBER(Matchs!E15:E20))</f>
        <v>0</v>
      </c>
      <c r="O8" s="6">
        <f>SUMPRODUCT((Matchs!C15:C20=L8)*(Matchs!D15:D20=Matchs!E15:E20)*ISNUMBER(Matchs!D15:D20)*ISNUMBER(Matchs!E15:E20))+SUMPRODUCT((Matchs!F15:F20=L8)*(Matchs!E15:E20=Matchs!D15:D20)*ISNUMBER(Matchs!D15:D20)*ISNUMBER(Matchs!E15:E20))</f>
        <v>0</v>
      </c>
      <c r="P8" s="6">
        <f>SUMPRODUCT((Matchs!C15:C20=L8)*(Matchs!D15:D20&lt;Matchs!E15:E20)*ISNUMBER(Matchs!D15:D20)*ISNUMBER(Matchs!E15:E20))+SUMPRODUCT((Matchs!F15:F20=L8)*(Matchs!E15:E20&lt;Matchs!D15:D20)*ISNUMBER(Matchs!D15:D20)*ISNUMBER(Matchs!E15:E20))</f>
        <v>0</v>
      </c>
      <c r="Q8" s="6">
        <f>SUMIF(Matchs!C15:C20,L8,Matchs!D15:D20)+SUMIF(Matchs!F15:F20,L8,Matchs!E15:E20)</f>
        <v>0</v>
      </c>
      <c r="R8" s="6">
        <f>SUMIF(Matchs!C15:C20,L8,Matchs!E15:E20)+SUMIF(Matchs!F15:F20,L8,Matchs!D15:D20)</f>
        <v>0</v>
      </c>
      <c r="S8" s="6">
        <f>Q8-R8</f>
        <v>0</v>
      </c>
      <c r="T8" s="12">
        <f>3*N8+O8</f>
        <v>0</v>
      </c>
      <c r="U8" s="13">
        <f>SUMPRODUCT(--(Aux!B2:B5&gt;Aux!B5))+1</f>
        <v>4</v>
      </c>
      <c r="W8" s="11" t="s">
        <v>88</v>
      </c>
      <c r="X8" s="6">
        <f>Y8+Z8+AA8</f>
        <v>0</v>
      </c>
      <c r="Y8" s="6">
        <f>SUMPRODUCT((Matchs!C24:C29=W8)*(Matchs!D24:D29&gt;Matchs!E24:E29)*ISNUMBER(Matchs!D24:D29)*ISNUMBER(Matchs!E24:E29))+SUMPRODUCT((Matchs!F24:F29=W8)*(Matchs!E24:E29&gt;Matchs!D24:D29)*ISNUMBER(Matchs!D24:D29)*ISNUMBER(Matchs!E24:E29))</f>
        <v>0</v>
      </c>
      <c r="Z8" s="6">
        <f>SUMPRODUCT((Matchs!C24:C29=W8)*(Matchs!D24:D29=Matchs!E24:E29)*ISNUMBER(Matchs!D24:D29)*ISNUMBER(Matchs!E24:E29))+SUMPRODUCT((Matchs!F24:F29=W8)*(Matchs!E24:E29=Matchs!D24:D29)*ISNUMBER(Matchs!D24:D29)*ISNUMBER(Matchs!E24:E29))</f>
        <v>0</v>
      </c>
      <c r="AA8" s="6">
        <f>SUMPRODUCT((Matchs!C24:C29=W8)*(Matchs!D24:D29&lt;Matchs!E24:E29)*ISNUMBER(Matchs!D24:D29)*ISNUMBER(Matchs!E24:E29))+SUMPRODUCT((Matchs!F24:F29=W8)*(Matchs!E24:E29&lt;Matchs!D24:D29)*ISNUMBER(Matchs!D24:D29)*ISNUMBER(Matchs!E24:E29))</f>
        <v>0</v>
      </c>
      <c r="AB8" s="6">
        <f>SUMIF(Matchs!C24:C29,W8,Matchs!D24:D29)+SUMIF(Matchs!F24:F29,W8,Matchs!E24:E29)</f>
        <v>0</v>
      </c>
      <c r="AC8" s="6">
        <f>SUMIF(Matchs!C24:C29,W8,Matchs!E24:E29)+SUMIF(Matchs!F24:F29,W8,Matchs!D24:D29)</f>
        <v>0</v>
      </c>
      <c r="AD8" s="6">
        <f>AB8-AC8</f>
        <v>0</v>
      </c>
      <c r="AE8" s="12">
        <f>3*Y8+Z8</f>
        <v>0</v>
      </c>
      <c r="AF8" s="13">
        <f>SUMPRODUCT(--(Aux!C2:C5&gt;Aux!C5))+1</f>
        <v>4</v>
      </c>
    </row>
    <row r="11" spans="1:32" ht="15" customHeight="1" x14ac:dyDescent="0.3">
      <c r="A11" s="3" t="s">
        <v>53</v>
      </c>
      <c r="B11" s="4"/>
      <c r="C11" s="4"/>
      <c r="D11" s="4"/>
      <c r="E11" s="4"/>
      <c r="F11" s="4"/>
      <c r="G11" s="4"/>
      <c r="H11" s="4"/>
      <c r="I11" s="4"/>
      <c r="J11" s="4"/>
      <c r="L11" s="3" t="s">
        <v>60</v>
      </c>
      <c r="M11" s="4"/>
      <c r="N11" s="4"/>
      <c r="O11" s="4"/>
      <c r="P11" s="4"/>
      <c r="Q11" s="4"/>
      <c r="R11" s="4"/>
      <c r="S11" s="4"/>
      <c r="T11" s="4"/>
      <c r="U11" s="4"/>
      <c r="W11" s="3" t="s">
        <v>65</v>
      </c>
      <c r="X11" s="4"/>
      <c r="Y11" s="4"/>
      <c r="Z11" s="4"/>
      <c r="AA11" s="4"/>
      <c r="AB11" s="4"/>
      <c r="AC11" s="4"/>
      <c r="AD11" s="4"/>
      <c r="AE11" s="4"/>
      <c r="AF11" s="4"/>
    </row>
    <row r="12" spans="1:32" ht="15" customHeight="1" x14ac:dyDescent="0.3">
      <c r="A12" s="5" t="s">
        <v>67</v>
      </c>
      <c r="B12" s="5" t="s">
        <v>68</v>
      </c>
      <c r="C12" s="5" t="s">
        <v>69</v>
      </c>
      <c r="D12" s="5" t="s">
        <v>70</v>
      </c>
      <c r="E12" s="5" t="s">
        <v>71</v>
      </c>
      <c r="F12" s="5" t="s">
        <v>72</v>
      </c>
      <c r="G12" s="5" t="s">
        <v>73</v>
      </c>
      <c r="H12" s="5" t="s">
        <v>74</v>
      </c>
      <c r="I12" s="5" t="s">
        <v>75</v>
      </c>
      <c r="J12" s="5" t="s">
        <v>76</v>
      </c>
      <c r="L12" s="5" t="s">
        <v>67</v>
      </c>
      <c r="M12" s="5" t="s">
        <v>68</v>
      </c>
      <c r="N12" s="5" t="s">
        <v>69</v>
      </c>
      <c r="O12" s="5" t="s">
        <v>70</v>
      </c>
      <c r="P12" s="5" t="s">
        <v>71</v>
      </c>
      <c r="Q12" s="5" t="s">
        <v>72</v>
      </c>
      <c r="R12" s="5" t="s">
        <v>73</v>
      </c>
      <c r="S12" s="5" t="s">
        <v>74</v>
      </c>
      <c r="T12" s="5" t="s">
        <v>75</v>
      </c>
      <c r="U12" s="5" t="s">
        <v>76</v>
      </c>
      <c r="W12" s="5" t="s">
        <v>67</v>
      </c>
      <c r="X12" s="5" t="s">
        <v>68</v>
      </c>
      <c r="Y12" s="5" t="s">
        <v>69</v>
      </c>
      <c r="Z12" s="5" t="s">
        <v>70</v>
      </c>
      <c r="AA12" s="5" t="s">
        <v>71</v>
      </c>
      <c r="AB12" s="5" t="s">
        <v>72</v>
      </c>
      <c r="AC12" s="5" t="s">
        <v>73</v>
      </c>
      <c r="AD12" s="5" t="s">
        <v>74</v>
      </c>
      <c r="AE12" s="5" t="s">
        <v>75</v>
      </c>
      <c r="AF12" s="5" t="s">
        <v>76</v>
      </c>
    </row>
    <row r="13" spans="1:32" ht="15" customHeight="1" x14ac:dyDescent="0.3">
      <c r="A13" s="11" t="s">
        <v>89</v>
      </c>
      <c r="B13" s="6">
        <f>C13+D13+E13</f>
        <v>0</v>
      </c>
      <c r="C13" s="6">
        <f>SUMPRODUCT((Matchs!C33:C38=A13)*(Matchs!D33:D38&gt;Matchs!E33:E38)*ISNUMBER(Matchs!D33:D38)*ISNUMBER(Matchs!E33:E38))+SUMPRODUCT((Matchs!F33:F38=A13)*(Matchs!E33:E38&gt;Matchs!D33:D38)*ISNUMBER(Matchs!D33:D38)*ISNUMBER(Matchs!E33:E38))</f>
        <v>0</v>
      </c>
      <c r="D13" s="6">
        <f>SUMPRODUCT((Matchs!C33:C38=A13)*(Matchs!D33:D38=Matchs!E33:E38)*ISNUMBER(Matchs!D33:D38)*ISNUMBER(Matchs!E33:E38))+SUMPRODUCT((Matchs!F33:F38=A13)*(Matchs!E33:E38=Matchs!D33:D38)*ISNUMBER(Matchs!D33:D38)*ISNUMBER(Matchs!E33:E38))</f>
        <v>0</v>
      </c>
      <c r="E13" s="6">
        <f>SUMPRODUCT((Matchs!C33:C38=A13)*(Matchs!D33:D38&lt;Matchs!E33:E38)*ISNUMBER(Matchs!D33:D38)*ISNUMBER(Matchs!E33:E38))+SUMPRODUCT((Matchs!F33:F38=A13)*(Matchs!E33:E38&lt;Matchs!D33:D38)*ISNUMBER(Matchs!D33:D38)*ISNUMBER(Matchs!E33:E38))</f>
        <v>0</v>
      </c>
      <c r="F13" s="6">
        <f>SUMIF(Matchs!C33:C38,A13,Matchs!D33:D38)+SUMIF(Matchs!F33:F38,A13,Matchs!E33:E38)</f>
        <v>0</v>
      </c>
      <c r="G13" s="6">
        <f>SUMIF(Matchs!C33:C38,A13,Matchs!E33:E38)+SUMIF(Matchs!F33:F38,A13,Matchs!D33:D38)</f>
        <v>0</v>
      </c>
      <c r="H13" s="6">
        <f>F13-G13</f>
        <v>0</v>
      </c>
      <c r="I13" s="12">
        <f>3*C13+D13</f>
        <v>0</v>
      </c>
      <c r="J13" s="13">
        <f>SUMPRODUCT(--(Aux!D2:D5&gt;Aux!D2))+1</f>
        <v>1</v>
      </c>
      <c r="L13" s="11" t="s">
        <v>90</v>
      </c>
      <c r="M13" s="6">
        <f>N13+O13+P13</f>
        <v>0</v>
      </c>
      <c r="N13" s="6">
        <f>SUMPRODUCT((Matchs!C42:C47=L13)*(Matchs!D42:D47&gt;Matchs!E42:E47)*ISNUMBER(Matchs!D42:D47)*ISNUMBER(Matchs!E42:E47))+SUMPRODUCT((Matchs!F42:F47=L13)*(Matchs!E42:E47&gt;Matchs!D42:D47)*ISNUMBER(Matchs!D42:D47)*ISNUMBER(Matchs!E42:E47))</f>
        <v>0</v>
      </c>
      <c r="O13" s="6">
        <f>SUMPRODUCT((Matchs!C42:C47=L13)*(Matchs!D42:D47=Matchs!E42:E47)*ISNUMBER(Matchs!D42:D47)*ISNUMBER(Matchs!E42:E47))+SUMPRODUCT((Matchs!F42:F47=L13)*(Matchs!E42:E47=Matchs!D42:D47)*ISNUMBER(Matchs!D42:D47)*ISNUMBER(Matchs!E42:E47))</f>
        <v>0</v>
      </c>
      <c r="P13" s="6">
        <f>SUMPRODUCT((Matchs!C42:C47=L13)*(Matchs!D42:D47&lt;Matchs!E42:E47)*ISNUMBER(Matchs!D42:D47)*ISNUMBER(Matchs!E42:E47))+SUMPRODUCT((Matchs!F42:F47=L13)*(Matchs!E42:E47&lt;Matchs!D42:D47)*ISNUMBER(Matchs!D42:D47)*ISNUMBER(Matchs!E42:E47))</f>
        <v>0</v>
      </c>
      <c r="Q13" s="6">
        <f>SUMIF(Matchs!C42:C47,L13,Matchs!D42:D47)+SUMIF(Matchs!F42:F47,L13,Matchs!E42:E47)</f>
        <v>0</v>
      </c>
      <c r="R13" s="6">
        <f>SUMIF(Matchs!C42:C47,L13,Matchs!E42:E47)+SUMIF(Matchs!F42:F47,L13,Matchs!D42:D47)</f>
        <v>0</v>
      </c>
      <c r="S13" s="6">
        <f>Q13-R13</f>
        <v>0</v>
      </c>
      <c r="T13" s="12">
        <f>3*N13+O13</f>
        <v>0</v>
      </c>
      <c r="U13" s="13">
        <f>SUMPRODUCT(--(Aux!E2:E5&gt;Aux!E2))+1</f>
        <v>1</v>
      </c>
      <c r="W13" s="11" t="s">
        <v>91</v>
      </c>
      <c r="X13" s="6">
        <f>Y13+Z13+AA13</f>
        <v>0</v>
      </c>
      <c r="Y13" s="6">
        <f>SUMPRODUCT((Matchs!C51:C56=W13)*(Matchs!D51:D56&gt;Matchs!E51:E56)*ISNUMBER(Matchs!D51:D56)*ISNUMBER(Matchs!E51:E56))+SUMPRODUCT((Matchs!F51:F56=W13)*(Matchs!E51:E56&gt;Matchs!D51:D56)*ISNUMBER(Matchs!D51:D56)*ISNUMBER(Matchs!E51:E56))</f>
        <v>0</v>
      </c>
      <c r="Z13" s="6">
        <f>SUMPRODUCT((Matchs!C51:C56=W13)*(Matchs!D51:D56=Matchs!E51:E56)*ISNUMBER(Matchs!D51:D56)*ISNUMBER(Matchs!E51:E56))+SUMPRODUCT((Matchs!F51:F56=W13)*(Matchs!E51:E56=Matchs!D51:D56)*ISNUMBER(Matchs!D51:D56)*ISNUMBER(Matchs!E51:E56))</f>
        <v>0</v>
      </c>
      <c r="AA13" s="6">
        <f>SUMPRODUCT((Matchs!C51:C56=W13)*(Matchs!D51:D56&lt;Matchs!E51:E56)*ISNUMBER(Matchs!D51:D56)*ISNUMBER(Matchs!E51:E56))+SUMPRODUCT((Matchs!F51:F56=W13)*(Matchs!E51:E56&lt;Matchs!D51:D56)*ISNUMBER(Matchs!D51:D56)*ISNUMBER(Matchs!E51:E56))</f>
        <v>0</v>
      </c>
      <c r="AB13" s="6">
        <f>SUMIF(Matchs!C51:C56,W13,Matchs!D51:D56)+SUMIF(Matchs!F51:F56,W13,Matchs!E51:E56)</f>
        <v>0</v>
      </c>
      <c r="AC13" s="6">
        <f>SUMIF(Matchs!C51:C56,W13,Matchs!E51:E56)+SUMIF(Matchs!F51:F56,W13,Matchs!D51:D56)</f>
        <v>0</v>
      </c>
      <c r="AD13" s="6">
        <f>AB13-AC13</f>
        <v>0</v>
      </c>
      <c r="AE13" s="12">
        <f>3*Y13+Z13</f>
        <v>0</v>
      </c>
      <c r="AF13" s="13">
        <f>SUMPRODUCT(--(Aux!F2:F5&gt;Aux!F2))+1</f>
        <v>1</v>
      </c>
    </row>
    <row r="14" spans="1:32" ht="15" customHeight="1" x14ac:dyDescent="0.3">
      <c r="A14" s="11" t="s">
        <v>92</v>
      </c>
      <c r="B14" s="6">
        <f>C14+D14+E14</f>
        <v>0</v>
      </c>
      <c r="C14" s="6">
        <f>SUMPRODUCT((Matchs!C33:C38=A14)*(Matchs!D33:D38&gt;Matchs!E33:E38)*ISNUMBER(Matchs!D33:D38)*ISNUMBER(Matchs!E33:E38))+SUMPRODUCT((Matchs!F33:F38=A14)*(Matchs!E33:E38&gt;Matchs!D33:D38)*ISNUMBER(Matchs!D33:D38)*ISNUMBER(Matchs!E33:E38))</f>
        <v>0</v>
      </c>
      <c r="D14" s="6">
        <f>SUMPRODUCT((Matchs!C33:C38=A14)*(Matchs!D33:D38=Matchs!E33:E38)*ISNUMBER(Matchs!D33:D38)*ISNUMBER(Matchs!E33:E38))+SUMPRODUCT((Matchs!F33:F38=A14)*(Matchs!E33:E38=Matchs!D33:D38)*ISNUMBER(Matchs!D33:D38)*ISNUMBER(Matchs!E33:E38))</f>
        <v>0</v>
      </c>
      <c r="E14" s="6">
        <f>SUMPRODUCT((Matchs!C33:C38=A14)*(Matchs!D33:D38&lt;Matchs!E33:E38)*ISNUMBER(Matchs!D33:D38)*ISNUMBER(Matchs!E33:E38))+SUMPRODUCT((Matchs!F33:F38=A14)*(Matchs!E33:E38&lt;Matchs!D33:D38)*ISNUMBER(Matchs!D33:D38)*ISNUMBER(Matchs!E33:E38))</f>
        <v>0</v>
      </c>
      <c r="F14" s="6">
        <f>SUMIF(Matchs!C33:C38,A14,Matchs!D33:D38)+SUMIF(Matchs!F33:F38,A14,Matchs!E33:E38)</f>
        <v>0</v>
      </c>
      <c r="G14" s="6">
        <f>SUMIF(Matchs!C33:C38,A14,Matchs!E33:E38)+SUMIF(Matchs!F33:F38,A14,Matchs!D33:D38)</f>
        <v>0</v>
      </c>
      <c r="H14" s="6">
        <f>F14-G14</f>
        <v>0</v>
      </c>
      <c r="I14" s="12">
        <f>3*C14+D14</f>
        <v>0</v>
      </c>
      <c r="J14" s="13">
        <f>SUMPRODUCT(--(Aux!D2:D5&gt;Aux!D3))+1</f>
        <v>2</v>
      </c>
      <c r="L14" s="11" t="s">
        <v>93</v>
      </c>
      <c r="M14" s="6">
        <f>N14+O14+P14</f>
        <v>0</v>
      </c>
      <c r="N14" s="6">
        <f>SUMPRODUCT((Matchs!C42:C47=L14)*(Matchs!D42:D47&gt;Matchs!E42:E47)*ISNUMBER(Matchs!D42:D47)*ISNUMBER(Matchs!E42:E47))+SUMPRODUCT((Matchs!F42:F47=L14)*(Matchs!E42:E47&gt;Matchs!D42:D47)*ISNUMBER(Matchs!D42:D47)*ISNUMBER(Matchs!E42:E47))</f>
        <v>0</v>
      </c>
      <c r="O14" s="6">
        <f>SUMPRODUCT((Matchs!C42:C47=L14)*(Matchs!D42:D47=Matchs!E42:E47)*ISNUMBER(Matchs!D42:D47)*ISNUMBER(Matchs!E42:E47))+SUMPRODUCT((Matchs!F42:F47=L14)*(Matchs!E42:E47=Matchs!D42:D47)*ISNUMBER(Matchs!D42:D47)*ISNUMBER(Matchs!E42:E47))</f>
        <v>0</v>
      </c>
      <c r="P14" s="6">
        <f>SUMPRODUCT((Matchs!C42:C47=L14)*(Matchs!D42:D47&lt;Matchs!E42:E47)*ISNUMBER(Matchs!D42:D47)*ISNUMBER(Matchs!E42:E47))+SUMPRODUCT((Matchs!F42:F47=L14)*(Matchs!E42:E47&lt;Matchs!D42:D47)*ISNUMBER(Matchs!D42:D47)*ISNUMBER(Matchs!E42:E47))</f>
        <v>0</v>
      </c>
      <c r="Q14" s="6">
        <f>SUMIF(Matchs!C42:C47,L14,Matchs!D42:D47)+SUMIF(Matchs!F42:F47,L14,Matchs!E42:E47)</f>
        <v>0</v>
      </c>
      <c r="R14" s="6">
        <f>SUMIF(Matchs!C42:C47,L14,Matchs!E42:E47)+SUMIF(Matchs!F42:F47,L14,Matchs!D42:D47)</f>
        <v>0</v>
      </c>
      <c r="S14" s="6">
        <f>Q14-R14</f>
        <v>0</v>
      </c>
      <c r="T14" s="12">
        <f>3*N14+O14</f>
        <v>0</v>
      </c>
      <c r="U14" s="13">
        <f>SUMPRODUCT(--(Aux!E2:E5&gt;Aux!E3))+1</f>
        <v>2</v>
      </c>
      <c r="W14" s="11" t="s">
        <v>94</v>
      </c>
      <c r="X14" s="6">
        <f>Y14+Z14+AA14</f>
        <v>0</v>
      </c>
      <c r="Y14" s="6">
        <f>SUMPRODUCT((Matchs!C51:C56=W14)*(Matchs!D51:D56&gt;Matchs!E51:E56)*ISNUMBER(Matchs!D51:D56)*ISNUMBER(Matchs!E51:E56))+SUMPRODUCT((Matchs!F51:F56=W14)*(Matchs!E51:E56&gt;Matchs!D51:D56)*ISNUMBER(Matchs!D51:D56)*ISNUMBER(Matchs!E51:E56))</f>
        <v>0</v>
      </c>
      <c r="Z14" s="6">
        <f>SUMPRODUCT((Matchs!C51:C56=W14)*(Matchs!D51:D56=Matchs!E51:E56)*ISNUMBER(Matchs!D51:D56)*ISNUMBER(Matchs!E51:E56))+SUMPRODUCT((Matchs!F51:F56=W14)*(Matchs!E51:E56=Matchs!D51:D56)*ISNUMBER(Matchs!D51:D56)*ISNUMBER(Matchs!E51:E56))</f>
        <v>0</v>
      </c>
      <c r="AA14" s="6">
        <f>SUMPRODUCT((Matchs!C51:C56=W14)*(Matchs!D51:D56&lt;Matchs!E51:E56)*ISNUMBER(Matchs!D51:D56)*ISNUMBER(Matchs!E51:E56))+SUMPRODUCT((Matchs!F51:F56=W14)*(Matchs!E51:E56&lt;Matchs!D51:D56)*ISNUMBER(Matchs!D51:D56)*ISNUMBER(Matchs!E51:E56))</f>
        <v>0</v>
      </c>
      <c r="AB14" s="6">
        <f>SUMIF(Matchs!C51:C56,W14,Matchs!D51:D56)+SUMIF(Matchs!F51:F56,W14,Matchs!E51:E56)</f>
        <v>0</v>
      </c>
      <c r="AC14" s="6">
        <f>SUMIF(Matchs!C51:C56,W14,Matchs!E51:E56)+SUMIF(Matchs!F51:F56,W14,Matchs!D51:D56)</f>
        <v>0</v>
      </c>
      <c r="AD14" s="6">
        <f>AB14-AC14</f>
        <v>0</v>
      </c>
      <c r="AE14" s="12">
        <f>3*Y14+Z14</f>
        <v>0</v>
      </c>
      <c r="AF14" s="13">
        <f>SUMPRODUCT(--(Aux!F2:F5&gt;Aux!F3))+1</f>
        <v>2</v>
      </c>
    </row>
    <row r="15" spans="1:32" ht="15" customHeight="1" x14ac:dyDescent="0.3">
      <c r="A15" s="11" t="s">
        <v>95</v>
      </c>
      <c r="B15" s="6">
        <f>C15+D15+E15</f>
        <v>0</v>
      </c>
      <c r="C15" s="6">
        <f>SUMPRODUCT((Matchs!C33:C38=A15)*(Matchs!D33:D38&gt;Matchs!E33:E38)*ISNUMBER(Matchs!D33:D38)*ISNUMBER(Matchs!E33:E38))+SUMPRODUCT((Matchs!F33:F38=A15)*(Matchs!E33:E38&gt;Matchs!D33:D38)*ISNUMBER(Matchs!D33:D38)*ISNUMBER(Matchs!E33:E38))</f>
        <v>0</v>
      </c>
      <c r="D15" s="6">
        <f>SUMPRODUCT((Matchs!C33:C38=A15)*(Matchs!D33:D38=Matchs!E33:E38)*ISNUMBER(Matchs!D33:D38)*ISNUMBER(Matchs!E33:E38))+SUMPRODUCT((Matchs!F33:F38=A15)*(Matchs!E33:E38=Matchs!D33:D38)*ISNUMBER(Matchs!D33:D38)*ISNUMBER(Matchs!E33:E38))</f>
        <v>0</v>
      </c>
      <c r="E15" s="6">
        <f>SUMPRODUCT((Matchs!C33:C38=A15)*(Matchs!D33:D38&lt;Matchs!E33:E38)*ISNUMBER(Matchs!D33:D38)*ISNUMBER(Matchs!E33:E38))+SUMPRODUCT((Matchs!F33:F38=A15)*(Matchs!E33:E38&lt;Matchs!D33:D38)*ISNUMBER(Matchs!D33:D38)*ISNUMBER(Matchs!E33:E38))</f>
        <v>0</v>
      </c>
      <c r="F15" s="6">
        <f>SUMIF(Matchs!C33:C38,A15,Matchs!D33:D38)+SUMIF(Matchs!F33:F38,A15,Matchs!E33:E38)</f>
        <v>0</v>
      </c>
      <c r="G15" s="6">
        <f>SUMIF(Matchs!C33:C38,A15,Matchs!E33:E38)+SUMIF(Matchs!F33:F38,A15,Matchs!D33:D38)</f>
        <v>0</v>
      </c>
      <c r="H15" s="6">
        <f>F15-G15</f>
        <v>0</v>
      </c>
      <c r="I15" s="12">
        <f>3*C15+D15</f>
        <v>0</v>
      </c>
      <c r="J15" s="13">
        <f>SUMPRODUCT(--(Aux!D2:D5&gt;Aux!D4))+1</f>
        <v>3</v>
      </c>
      <c r="L15" s="11" t="s">
        <v>96</v>
      </c>
      <c r="M15" s="6">
        <f>N15+O15+P15</f>
        <v>0</v>
      </c>
      <c r="N15" s="6">
        <f>SUMPRODUCT((Matchs!C42:C47=L15)*(Matchs!D42:D47&gt;Matchs!E42:E47)*ISNUMBER(Matchs!D42:D47)*ISNUMBER(Matchs!E42:E47))+SUMPRODUCT((Matchs!F42:F47=L15)*(Matchs!E42:E47&gt;Matchs!D42:D47)*ISNUMBER(Matchs!D42:D47)*ISNUMBER(Matchs!E42:E47))</f>
        <v>0</v>
      </c>
      <c r="O15" s="6">
        <f>SUMPRODUCT((Matchs!C42:C47=L15)*(Matchs!D42:D47=Matchs!E42:E47)*ISNUMBER(Matchs!D42:D47)*ISNUMBER(Matchs!E42:E47))+SUMPRODUCT((Matchs!F42:F47=L15)*(Matchs!E42:E47=Matchs!D42:D47)*ISNUMBER(Matchs!D42:D47)*ISNUMBER(Matchs!E42:E47))</f>
        <v>0</v>
      </c>
      <c r="P15" s="6">
        <f>SUMPRODUCT((Matchs!C42:C47=L15)*(Matchs!D42:D47&lt;Matchs!E42:E47)*ISNUMBER(Matchs!D42:D47)*ISNUMBER(Matchs!E42:E47))+SUMPRODUCT((Matchs!F42:F47=L15)*(Matchs!E42:E47&lt;Matchs!D42:D47)*ISNUMBER(Matchs!D42:D47)*ISNUMBER(Matchs!E42:E47))</f>
        <v>0</v>
      </c>
      <c r="Q15" s="6">
        <f>SUMIF(Matchs!C42:C47,L15,Matchs!D42:D47)+SUMIF(Matchs!F42:F47,L15,Matchs!E42:E47)</f>
        <v>0</v>
      </c>
      <c r="R15" s="6">
        <f>SUMIF(Matchs!C42:C47,L15,Matchs!E42:E47)+SUMIF(Matchs!F42:F47,L15,Matchs!D42:D47)</f>
        <v>0</v>
      </c>
      <c r="S15" s="6">
        <f>Q15-R15</f>
        <v>0</v>
      </c>
      <c r="T15" s="12">
        <f>3*N15+O15</f>
        <v>0</v>
      </c>
      <c r="U15" s="13">
        <f>SUMPRODUCT(--(Aux!E2:E5&gt;Aux!E4))+1</f>
        <v>3</v>
      </c>
      <c r="W15" s="11" t="s">
        <v>97</v>
      </c>
      <c r="X15" s="6">
        <f>Y15+Z15+AA15</f>
        <v>0</v>
      </c>
      <c r="Y15" s="6">
        <f>SUMPRODUCT((Matchs!C51:C56=W15)*(Matchs!D51:D56&gt;Matchs!E51:E56)*ISNUMBER(Matchs!D51:D56)*ISNUMBER(Matchs!E51:E56))+SUMPRODUCT((Matchs!F51:F56=W15)*(Matchs!E51:E56&gt;Matchs!D51:D56)*ISNUMBER(Matchs!D51:D56)*ISNUMBER(Matchs!E51:E56))</f>
        <v>0</v>
      </c>
      <c r="Z15" s="6">
        <f>SUMPRODUCT((Matchs!C51:C56=W15)*(Matchs!D51:D56=Matchs!E51:E56)*ISNUMBER(Matchs!D51:D56)*ISNUMBER(Matchs!E51:E56))+SUMPRODUCT((Matchs!F51:F56=W15)*(Matchs!E51:E56=Matchs!D51:D56)*ISNUMBER(Matchs!D51:D56)*ISNUMBER(Matchs!E51:E56))</f>
        <v>0</v>
      </c>
      <c r="AA15" s="6">
        <f>SUMPRODUCT((Matchs!C51:C56=W15)*(Matchs!D51:D56&lt;Matchs!E51:E56)*ISNUMBER(Matchs!D51:D56)*ISNUMBER(Matchs!E51:E56))+SUMPRODUCT((Matchs!F51:F56=W15)*(Matchs!E51:E56&lt;Matchs!D51:D56)*ISNUMBER(Matchs!D51:D56)*ISNUMBER(Matchs!E51:E56))</f>
        <v>0</v>
      </c>
      <c r="AB15" s="6">
        <f>SUMIF(Matchs!C51:C56,W15,Matchs!D51:D56)+SUMIF(Matchs!F51:F56,W15,Matchs!E51:E56)</f>
        <v>0</v>
      </c>
      <c r="AC15" s="6">
        <f>SUMIF(Matchs!C51:C56,W15,Matchs!E51:E56)+SUMIF(Matchs!F51:F56,W15,Matchs!D51:D56)</f>
        <v>0</v>
      </c>
      <c r="AD15" s="6">
        <f>AB15-AC15</f>
        <v>0</v>
      </c>
      <c r="AE15" s="12">
        <f>3*Y15+Z15</f>
        <v>0</v>
      </c>
      <c r="AF15" s="13">
        <f>SUMPRODUCT(--(Aux!F2:F5&gt;Aux!F4))+1</f>
        <v>3</v>
      </c>
    </row>
    <row r="16" spans="1:32" ht="15" customHeight="1" x14ac:dyDescent="0.3">
      <c r="A16" s="11" t="s">
        <v>98</v>
      </c>
      <c r="B16" s="6">
        <f>C16+D16+E16</f>
        <v>0</v>
      </c>
      <c r="C16" s="6">
        <f>SUMPRODUCT((Matchs!C33:C38=A16)*(Matchs!D33:D38&gt;Matchs!E33:E38)*ISNUMBER(Matchs!D33:D38)*ISNUMBER(Matchs!E33:E38))+SUMPRODUCT((Matchs!F33:F38=A16)*(Matchs!E33:E38&gt;Matchs!D33:D38)*ISNUMBER(Matchs!D33:D38)*ISNUMBER(Matchs!E33:E38))</f>
        <v>0</v>
      </c>
      <c r="D16" s="6">
        <f>SUMPRODUCT((Matchs!C33:C38=A16)*(Matchs!D33:D38=Matchs!E33:E38)*ISNUMBER(Matchs!D33:D38)*ISNUMBER(Matchs!E33:E38))+SUMPRODUCT((Matchs!F33:F38=A16)*(Matchs!E33:E38=Matchs!D33:D38)*ISNUMBER(Matchs!D33:D38)*ISNUMBER(Matchs!E33:E38))</f>
        <v>0</v>
      </c>
      <c r="E16" s="6">
        <f>SUMPRODUCT((Matchs!C33:C38=A16)*(Matchs!D33:D38&lt;Matchs!E33:E38)*ISNUMBER(Matchs!D33:D38)*ISNUMBER(Matchs!E33:E38))+SUMPRODUCT((Matchs!F33:F38=A16)*(Matchs!E33:E38&lt;Matchs!D33:D38)*ISNUMBER(Matchs!D33:D38)*ISNUMBER(Matchs!E33:E38))</f>
        <v>0</v>
      </c>
      <c r="F16" s="6">
        <f>SUMIF(Matchs!C33:C38,A16,Matchs!D33:D38)+SUMIF(Matchs!F33:F38,A16,Matchs!E33:E38)</f>
        <v>0</v>
      </c>
      <c r="G16" s="6">
        <f>SUMIF(Matchs!C33:C38,A16,Matchs!E33:E38)+SUMIF(Matchs!F33:F38,A16,Matchs!D33:D38)</f>
        <v>0</v>
      </c>
      <c r="H16" s="6">
        <f>F16-G16</f>
        <v>0</v>
      </c>
      <c r="I16" s="12">
        <f>3*C16+D16</f>
        <v>0</v>
      </c>
      <c r="J16" s="13">
        <f>SUMPRODUCT(--(Aux!D2:D5&gt;Aux!D5))+1</f>
        <v>4</v>
      </c>
      <c r="L16" s="11" t="s">
        <v>99</v>
      </c>
      <c r="M16" s="6">
        <f>N16+O16+P16</f>
        <v>0</v>
      </c>
      <c r="N16" s="6">
        <f>SUMPRODUCT((Matchs!C42:C47=L16)*(Matchs!D42:D47&gt;Matchs!E42:E47)*ISNUMBER(Matchs!D42:D47)*ISNUMBER(Matchs!E42:E47))+SUMPRODUCT((Matchs!F42:F47=L16)*(Matchs!E42:E47&gt;Matchs!D42:D47)*ISNUMBER(Matchs!D42:D47)*ISNUMBER(Matchs!E42:E47))</f>
        <v>0</v>
      </c>
      <c r="O16" s="6">
        <f>SUMPRODUCT((Matchs!C42:C47=L16)*(Matchs!D42:D47=Matchs!E42:E47)*ISNUMBER(Matchs!D42:D47)*ISNUMBER(Matchs!E42:E47))+SUMPRODUCT((Matchs!F42:F47=L16)*(Matchs!E42:E47=Matchs!D42:D47)*ISNUMBER(Matchs!D42:D47)*ISNUMBER(Matchs!E42:E47))</f>
        <v>0</v>
      </c>
      <c r="P16" s="6">
        <f>SUMPRODUCT((Matchs!C42:C47=L16)*(Matchs!D42:D47&lt;Matchs!E42:E47)*ISNUMBER(Matchs!D42:D47)*ISNUMBER(Matchs!E42:E47))+SUMPRODUCT((Matchs!F42:F47=L16)*(Matchs!E42:E47&lt;Matchs!D42:D47)*ISNUMBER(Matchs!D42:D47)*ISNUMBER(Matchs!E42:E47))</f>
        <v>0</v>
      </c>
      <c r="Q16" s="6">
        <f>SUMIF(Matchs!C42:C47,L16,Matchs!D42:D47)+SUMIF(Matchs!F42:F47,L16,Matchs!E42:E47)</f>
        <v>0</v>
      </c>
      <c r="R16" s="6">
        <f>SUMIF(Matchs!C42:C47,L16,Matchs!E42:E47)+SUMIF(Matchs!F42:F47,L16,Matchs!D42:D47)</f>
        <v>0</v>
      </c>
      <c r="S16" s="6">
        <f>Q16-R16</f>
        <v>0</v>
      </c>
      <c r="T16" s="12">
        <f>3*N16+O16</f>
        <v>0</v>
      </c>
      <c r="U16" s="13">
        <f>SUMPRODUCT(--(Aux!E2:E5&gt;Aux!E5))+1</f>
        <v>4</v>
      </c>
      <c r="W16" s="11" t="s">
        <v>100</v>
      </c>
      <c r="X16" s="6">
        <f>Y16+Z16+AA16</f>
        <v>0</v>
      </c>
      <c r="Y16" s="6">
        <f>SUMPRODUCT((Matchs!C51:C56=W16)*(Matchs!D51:D56&gt;Matchs!E51:E56)*ISNUMBER(Matchs!D51:D56)*ISNUMBER(Matchs!E51:E56))+SUMPRODUCT((Matchs!F51:F56=W16)*(Matchs!E51:E56&gt;Matchs!D51:D56)*ISNUMBER(Matchs!D51:D56)*ISNUMBER(Matchs!E51:E56))</f>
        <v>0</v>
      </c>
      <c r="Z16" s="6">
        <f>SUMPRODUCT((Matchs!C51:C56=W16)*(Matchs!D51:D56=Matchs!E51:E56)*ISNUMBER(Matchs!D51:D56)*ISNUMBER(Matchs!E51:E56))+SUMPRODUCT((Matchs!F51:F56=W16)*(Matchs!E51:E56=Matchs!D51:D56)*ISNUMBER(Matchs!D51:D56)*ISNUMBER(Matchs!E51:E56))</f>
        <v>0</v>
      </c>
      <c r="AA16" s="6">
        <f>SUMPRODUCT((Matchs!C51:C56=W16)*(Matchs!D51:D56&lt;Matchs!E51:E56)*ISNUMBER(Matchs!D51:D56)*ISNUMBER(Matchs!E51:E56))+SUMPRODUCT((Matchs!F51:F56=W16)*(Matchs!E51:E56&lt;Matchs!D51:D56)*ISNUMBER(Matchs!D51:D56)*ISNUMBER(Matchs!E51:E56))</f>
        <v>0</v>
      </c>
      <c r="AB16" s="6">
        <f>SUMIF(Matchs!C51:C56,W16,Matchs!D51:D56)+SUMIF(Matchs!F51:F56,W16,Matchs!E51:E56)</f>
        <v>0</v>
      </c>
      <c r="AC16" s="6">
        <f>SUMIF(Matchs!C51:C56,W16,Matchs!E51:E56)+SUMIF(Matchs!F51:F56,W16,Matchs!D51:D56)</f>
        <v>0</v>
      </c>
      <c r="AD16" s="6">
        <f>AB16-AC16</f>
        <v>0</v>
      </c>
      <c r="AE16" s="12">
        <f>3*Y16+Z16</f>
        <v>0</v>
      </c>
      <c r="AF16" s="13">
        <f>SUMPRODUCT(--(Aux!F2:F5&gt;Aux!F5))+1</f>
        <v>4</v>
      </c>
    </row>
    <row r="19" spans="1:32" ht="15" customHeight="1" x14ac:dyDescent="0.3">
      <c r="A19" s="3" t="s">
        <v>3</v>
      </c>
      <c r="B19" s="4"/>
      <c r="C19" s="4"/>
      <c r="D19" s="4"/>
      <c r="E19" s="4"/>
      <c r="F19" s="4"/>
      <c r="G19" s="4"/>
      <c r="H19" s="4"/>
      <c r="I19" s="4"/>
      <c r="J19" s="4"/>
      <c r="L19" s="3" t="s">
        <v>33</v>
      </c>
      <c r="M19" s="4"/>
      <c r="N19" s="4"/>
      <c r="O19" s="4"/>
      <c r="P19" s="4"/>
      <c r="Q19" s="4"/>
      <c r="R19" s="4"/>
      <c r="S19" s="4"/>
      <c r="T19" s="4"/>
      <c r="U19" s="4"/>
      <c r="W19" s="3" t="s">
        <v>43</v>
      </c>
      <c r="X19" s="4"/>
      <c r="Y19" s="4"/>
      <c r="Z19" s="4"/>
      <c r="AA19" s="4"/>
      <c r="AB19" s="4"/>
      <c r="AC19" s="4"/>
      <c r="AD19" s="4"/>
      <c r="AE19" s="4"/>
      <c r="AF19" s="4"/>
    </row>
    <row r="20" spans="1:32" ht="15" customHeight="1" x14ac:dyDescent="0.3">
      <c r="A20" s="5" t="s">
        <v>67</v>
      </c>
      <c r="B20" s="5" t="s">
        <v>68</v>
      </c>
      <c r="C20" s="5" t="s">
        <v>69</v>
      </c>
      <c r="D20" s="5" t="s">
        <v>70</v>
      </c>
      <c r="E20" s="5" t="s">
        <v>71</v>
      </c>
      <c r="F20" s="5" t="s">
        <v>72</v>
      </c>
      <c r="G20" s="5" t="s">
        <v>73</v>
      </c>
      <c r="H20" s="5" t="s">
        <v>74</v>
      </c>
      <c r="I20" s="5" t="s">
        <v>75</v>
      </c>
      <c r="J20" s="5" t="s">
        <v>76</v>
      </c>
      <c r="L20" s="5" t="s">
        <v>67</v>
      </c>
      <c r="M20" s="5" t="s">
        <v>68</v>
      </c>
      <c r="N20" s="5" t="s">
        <v>69</v>
      </c>
      <c r="O20" s="5" t="s">
        <v>70</v>
      </c>
      <c r="P20" s="5" t="s">
        <v>71</v>
      </c>
      <c r="Q20" s="5" t="s">
        <v>72</v>
      </c>
      <c r="R20" s="5" t="s">
        <v>73</v>
      </c>
      <c r="S20" s="5" t="s">
        <v>74</v>
      </c>
      <c r="T20" s="5" t="s">
        <v>75</v>
      </c>
      <c r="U20" s="5" t="s">
        <v>76</v>
      </c>
      <c r="W20" s="5" t="s">
        <v>67</v>
      </c>
      <c r="X20" s="5" t="s">
        <v>68</v>
      </c>
      <c r="Y20" s="5" t="s">
        <v>69</v>
      </c>
      <c r="Z20" s="5" t="s">
        <v>70</v>
      </c>
      <c r="AA20" s="5" t="s">
        <v>71</v>
      </c>
      <c r="AB20" s="5" t="s">
        <v>72</v>
      </c>
      <c r="AC20" s="5" t="s">
        <v>73</v>
      </c>
      <c r="AD20" s="5" t="s">
        <v>74</v>
      </c>
      <c r="AE20" s="5" t="s">
        <v>75</v>
      </c>
      <c r="AF20" s="5" t="s">
        <v>76</v>
      </c>
    </row>
    <row r="21" spans="1:32" ht="15" customHeight="1" x14ac:dyDescent="0.3">
      <c r="A21" s="11" t="s">
        <v>101</v>
      </c>
      <c r="B21" s="6">
        <f>C21+D21+E21</f>
        <v>0</v>
      </c>
      <c r="C21" s="6">
        <f>SUMPRODUCT((Matchs!L6:L11=A21)*(Matchs!M6:M11&gt;Matchs!N6:N11)*ISNUMBER(Matchs!M6:M11)*ISNUMBER(Matchs!N6:N11))+SUMPRODUCT((Matchs!O6:O11=A21)*(Matchs!N6:N11&gt;Matchs!M6:M11)*ISNUMBER(Matchs!M6:M11)*ISNUMBER(Matchs!N6:N11))</f>
        <v>0</v>
      </c>
      <c r="D21" s="6">
        <f>SUMPRODUCT((Matchs!L6:L11=A21)*(Matchs!M6:M11=Matchs!N6:N11)*ISNUMBER(Matchs!M6:M11)*ISNUMBER(Matchs!N6:N11))+SUMPRODUCT((Matchs!O6:O11=A21)*(Matchs!N6:N11=Matchs!M6:M11)*ISNUMBER(Matchs!M6:M11)*ISNUMBER(Matchs!N6:N11))</f>
        <v>0</v>
      </c>
      <c r="E21" s="6">
        <f>SUMPRODUCT((Matchs!L6:L11=A21)*(Matchs!M6:M11&lt;Matchs!N6:N11)*ISNUMBER(Matchs!M6:M11)*ISNUMBER(Matchs!N6:N11))+SUMPRODUCT((Matchs!O6:O11=A21)*(Matchs!N6:N11&lt;Matchs!M6:M11)*ISNUMBER(Matchs!M6:M11)*ISNUMBER(Matchs!N6:N11))</f>
        <v>0</v>
      </c>
      <c r="F21" s="6">
        <f>SUMIF(Matchs!L6:L11,A21,Matchs!M6:M11)+SUMIF(Matchs!O6:O11,A21,Matchs!N6:N11)</f>
        <v>0</v>
      </c>
      <c r="G21" s="6">
        <f>SUMIF(Matchs!L6:L11,A21,Matchs!N6:N11)+SUMIF(Matchs!O6:O11,A21,Matchs!M6:M11)</f>
        <v>0</v>
      </c>
      <c r="H21" s="6">
        <f>F21-G21</f>
        <v>0</v>
      </c>
      <c r="I21" s="12">
        <f>3*C21+D21</f>
        <v>0</v>
      </c>
      <c r="J21" s="13">
        <f>SUMPRODUCT(--(Aux!G2:G5&gt;Aux!G2))+1</f>
        <v>1</v>
      </c>
      <c r="L21" s="11" t="s">
        <v>102</v>
      </c>
      <c r="M21" s="6">
        <f>N21+O21+P21</f>
        <v>0</v>
      </c>
      <c r="N21" s="6">
        <f>SUMPRODUCT((Matchs!L15:L20=L21)*(Matchs!M15:M20&gt;Matchs!N15:N20)*ISNUMBER(Matchs!M15:M20)*ISNUMBER(Matchs!N15:N20))+SUMPRODUCT((Matchs!O15:O20=L21)*(Matchs!N15:N20&gt;Matchs!M15:M20)*ISNUMBER(Matchs!M15:M20)*ISNUMBER(Matchs!N15:N20))</f>
        <v>0</v>
      </c>
      <c r="O21" s="6">
        <f>SUMPRODUCT((Matchs!L15:L20=L21)*(Matchs!M15:M20=Matchs!N15:N20)*ISNUMBER(Matchs!M15:M20)*ISNUMBER(Matchs!N15:N20))+SUMPRODUCT((Matchs!O15:O20=L21)*(Matchs!N15:N20=Matchs!M15:M20)*ISNUMBER(Matchs!M15:M20)*ISNUMBER(Matchs!N15:N20))</f>
        <v>0</v>
      </c>
      <c r="P21" s="6">
        <f>SUMPRODUCT((Matchs!L15:L20=L21)*(Matchs!M15:M20&lt;Matchs!N15:N20)*ISNUMBER(Matchs!M15:M20)*ISNUMBER(Matchs!N15:N20))+SUMPRODUCT((Matchs!O15:O20=L21)*(Matchs!N15:N20&lt;Matchs!M15:M20)*ISNUMBER(Matchs!M15:M20)*ISNUMBER(Matchs!N15:N20))</f>
        <v>0</v>
      </c>
      <c r="Q21" s="6">
        <f>SUMIF(Matchs!L15:L20,L21,Matchs!M15:M20)+SUMIF(Matchs!O15:O20,L21,Matchs!N15:N20)</f>
        <v>0</v>
      </c>
      <c r="R21" s="6">
        <f>SUMIF(Matchs!L15:L20,L21,Matchs!N15:N20)+SUMIF(Matchs!O15:O20,L21,Matchs!M15:M20)</f>
        <v>0</v>
      </c>
      <c r="S21" s="6">
        <f>Q21-R21</f>
        <v>0</v>
      </c>
      <c r="T21" s="12">
        <f>3*N21+O21</f>
        <v>0</v>
      </c>
      <c r="U21" s="13">
        <f>SUMPRODUCT(--(Aux!H2:H5&gt;Aux!H2))+1</f>
        <v>1</v>
      </c>
      <c r="W21" s="11" t="s">
        <v>103</v>
      </c>
      <c r="X21" s="6">
        <f>Y21+Z21+AA21</f>
        <v>0</v>
      </c>
      <c r="Y21" s="6">
        <f>SUMPRODUCT((Matchs!L24:L29=W21)*(Matchs!M24:M29&gt;Matchs!N24:N29)*ISNUMBER(Matchs!M24:M29)*ISNUMBER(Matchs!N24:N29))+SUMPRODUCT((Matchs!O24:O29=W21)*(Matchs!N24:N29&gt;Matchs!M24:M29)*ISNUMBER(Matchs!M24:M29)*ISNUMBER(Matchs!N24:N29))</f>
        <v>0</v>
      </c>
      <c r="Z21" s="6">
        <f>SUMPRODUCT((Matchs!L24:L29=W21)*(Matchs!M24:M29=Matchs!N24:N29)*ISNUMBER(Matchs!M24:M29)*ISNUMBER(Matchs!N24:N29))+SUMPRODUCT((Matchs!O24:O29=W21)*(Matchs!N24:N29=Matchs!M24:M29)*ISNUMBER(Matchs!M24:M29)*ISNUMBER(Matchs!N24:N29))</f>
        <v>0</v>
      </c>
      <c r="AA21" s="6">
        <f>SUMPRODUCT((Matchs!L24:L29=W21)*(Matchs!M24:M29&lt;Matchs!N24:N29)*ISNUMBER(Matchs!M24:M29)*ISNUMBER(Matchs!N24:N29))+SUMPRODUCT((Matchs!O24:O29=W21)*(Matchs!N24:N29&lt;Matchs!M24:M29)*ISNUMBER(Matchs!M24:M29)*ISNUMBER(Matchs!N24:N29))</f>
        <v>0</v>
      </c>
      <c r="AB21" s="6">
        <f>SUMIF(Matchs!L24:L29,W21,Matchs!M24:M29)+SUMIF(Matchs!O24:O29,W21,Matchs!N24:N29)</f>
        <v>0</v>
      </c>
      <c r="AC21" s="6">
        <f>SUMIF(Matchs!L24:L29,W21,Matchs!N24:N29)+SUMIF(Matchs!O24:O29,W21,Matchs!M24:M29)</f>
        <v>0</v>
      </c>
      <c r="AD21" s="6">
        <f>AB21-AC21</f>
        <v>0</v>
      </c>
      <c r="AE21" s="12">
        <f>3*Y21+Z21</f>
        <v>0</v>
      </c>
      <c r="AF21" s="13">
        <f>SUMPRODUCT(--(Aux!I2:I5&gt;Aux!I2))+1</f>
        <v>1</v>
      </c>
    </row>
    <row r="22" spans="1:32" ht="15" customHeight="1" x14ac:dyDescent="0.3">
      <c r="A22" s="11" t="s">
        <v>104</v>
      </c>
      <c r="B22" s="6">
        <f>C22+D22+E22</f>
        <v>0</v>
      </c>
      <c r="C22" s="6">
        <f>SUMPRODUCT((Matchs!L6:L11=A22)*(Matchs!M6:M11&gt;Matchs!N6:N11)*ISNUMBER(Matchs!M6:M11)*ISNUMBER(Matchs!N6:N11))+SUMPRODUCT((Matchs!O6:O11=A22)*(Matchs!N6:N11&gt;Matchs!M6:M11)*ISNUMBER(Matchs!M6:M11)*ISNUMBER(Matchs!N6:N11))</f>
        <v>0</v>
      </c>
      <c r="D22" s="6">
        <f>SUMPRODUCT((Matchs!L6:L11=A22)*(Matchs!M6:M11=Matchs!N6:N11)*ISNUMBER(Matchs!M6:M11)*ISNUMBER(Matchs!N6:N11))+SUMPRODUCT((Matchs!O6:O11=A22)*(Matchs!N6:N11=Matchs!M6:M11)*ISNUMBER(Matchs!M6:M11)*ISNUMBER(Matchs!N6:N11))</f>
        <v>0</v>
      </c>
      <c r="E22" s="6">
        <f>SUMPRODUCT((Matchs!L6:L11=A22)*(Matchs!M6:M11&lt;Matchs!N6:N11)*ISNUMBER(Matchs!M6:M11)*ISNUMBER(Matchs!N6:N11))+SUMPRODUCT((Matchs!O6:O11=A22)*(Matchs!N6:N11&lt;Matchs!M6:M11)*ISNUMBER(Matchs!M6:M11)*ISNUMBER(Matchs!N6:N11))</f>
        <v>0</v>
      </c>
      <c r="F22" s="6">
        <f>SUMIF(Matchs!L6:L11,A22,Matchs!M6:M11)+SUMIF(Matchs!O6:O11,A22,Matchs!N6:N11)</f>
        <v>0</v>
      </c>
      <c r="G22" s="6">
        <f>SUMIF(Matchs!L6:L11,A22,Matchs!N6:N11)+SUMIF(Matchs!O6:O11,A22,Matchs!M6:M11)</f>
        <v>0</v>
      </c>
      <c r="H22" s="6">
        <f>F22-G22</f>
        <v>0</v>
      </c>
      <c r="I22" s="12">
        <f>3*C22+D22</f>
        <v>0</v>
      </c>
      <c r="J22" s="13">
        <f>SUMPRODUCT(--(Aux!G2:G5&gt;Aux!G3))+1</f>
        <v>2</v>
      </c>
      <c r="L22" s="11" t="s">
        <v>105</v>
      </c>
      <c r="M22" s="6">
        <f>N22+O22+P22</f>
        <v>0</v>
      </c>
      <c r="N22" s="6">
        <f>SUMPRODUCT((Matchs!L15:L20=L22)*(Matchs!M15:M20&gt;Matchs!N15:N20)*ISNUMBER(Matchs!M15:M20)*ISNUMBER(Matchs!N15:N20))+SUMPRODUCT((Matchs!O15:O20=L22)*(Matchs!N15:N20&gt;Matchs!M15:M20)*ISNUMBER(Matchs!M15:M20)*ISNUMBER(Matchs!N15:N20))</f>
        <v>0</v>
      </c>
      <c r="O22" s="6">
        <f>SUMPRODUCT((Matchs!L15:L20=L22)*(Matchs!M15:M20=Matchs!N15:N20)*ISNUMBER(Matchs!M15:M20)*ISNUMBER(Matchs!N15:N20))+SUMPRODUCT((Matchs!O15:O20=L22)*(Matchs!N15:N20=Matchs!M15:M20)*ISNUMBER(Matchs!M15:M20)*ISNUMBER(Matchs!N15:N20))</f>
        <v>0</v>
      </c>
      <c r="P22" s="6">
        <f>SUMPRODUCT((Matchs!L15:L20=L22)*(Matchs!M15:M20&lt;Matchs!N15:N20)*ISNUMBER(Matchs!M15:M20)*ISNUMBER(Matchs!N15:N20))+SUMPRODUCT((Matchs!O15:O20=L22)*(Matchs!N15:N20&lt;Matchs!M15:M20)*ISNUMBER(Matchs!M15:M20)*ISNUMBER(Matchs!N15:N20))</f>
        <v>0</v>
      </c>
      <c r="Q22" s="6">
        <f>SUMIF(Matchs!L15:L20,L22,Matchs!M15:M20)+SUMIF(Matchs!O15:O20,L22,Matchs!N15:N20)</f>
        <v>0</v>
      </c>
      <c r="R22" s="6">
        <f>SUMIF(Matchs!L15:L20,L22,Matchs!N15:N20)+SUMIF(Matchs!O15:O20,L22,Matchs!M15:M20)</f>
        <v>0</v>
      </c>
      <c r="S22" s="6">
        <f>Q22-R22</f>
        <v>0</v>
      </c>
      <c r="T22" s="12">
        <f>3*N22+O22</f>
        <v>0</v>
      </c>
      <c r="U22" s="13">
        <f>SUMPRODUCT(--(Aux!H2:H5&gt;Aux!H3))+1</f>
        <v>2</v>
      </c>
      <c r="W22" s="11" t="s">
        <v>106</v>
      </c>
      <c r="X22" s="6">
        <f>Y22+Z22+AA22</f>
        <v>0</v>
      </c>
      <c r="Y22" s="6">
        <f>SUMPRODUCT((Matchs!L24:L29=W22)*(Matchs!M24:M29&gt;Matchs!N24:N29)*ISNUMBER(Matchs!M24:M29)*ISNUMBER(Matchs!N24:N29))+SUMPRODUCT((Matchs!O24:O29=W22)*(Matchs!N24:N29&gt;Matchs!M24:M29)*ISNUMBER(Matchs!M24:M29)*ISNUMBER(Matchs!N24:N29))</f>
        <v>0</v>
      </c>
      <c r="Z22" s="6">
        <f>SUMPRODUCT((Matchs!L24:L29=W22)*(Matchs!M24:M29=Matchs!N24:N29)*ISNUMBER(Matchs!M24:M29)*ISNUMBER(Matchs!N24:N29))+SUMPRODUCT((Matchs!O24:O29=W22)*(Matchs!N24:N29=Matchs!M24:M29)*ISNUMBER(Matchs!M24:M29)*ISNUMBER(Matchs!N24:N29))</f>
        <v>0</v>
      </c>
      <c r="AA22" s="6">
        <f>SUMPRODUCT((Matchs!L24:L29=W22)*(Matchs!M24:M29&lt;Matchs!N24:N29)*ISNUMBER(Matchs!M24:M29)*ISNUMBER(Matchs!N24:N29))+SUMPRODUCT((Matchs!O24:O29=W22)*(Matchs!N24:N29&lt;Matchs!M24:M29)*ISNUMBER(Matchs!M24:M29)*ISNUMBER(Matchs!N24:N29))</f>
        <v>0</v>
      </c>
      <c r="AB22" s="6">
        <f>SUMIF(Matchs!L24:L29,W22,Matchs!M24:M29)+SUMIF(Matchs!O24:O29,W22,Matchs!N24:N29)</f>
        <v>0</v>
      </c>
      <c r="AC22" s="6">
        <f>SUMIF(Matchs!L24:L29,W22,Matchs!N24:N29)+SUMIF(Matchs!O24:O29,W22,Matchs!M24:M29)</f>
        <v>0</v>
      </c>
      <c r="AD22" s="6">
        <f>AB22-AC22</f>
        <v>0</v>
      </c>
      <c r="AE22" s="12">
        <f>3*Y22+Z22</f>
        <v>0</v>
      </c>
      <c r="AF22" s="13">
        <f>SUMPRODUCT(--(Aux!I2:I5&gt;Aux!I3))+1</f>
        <v>2</v>
      </c>
    </row>
    <row r="23" spans="1:32" ht="15" customHeight="1" x14ac:dyDescent="0.3">
      <c r="A23" s="11" t="s">
        <v>107</v>
      </c>
      <c r="B23" s="6">
        <f>C23+D23+E23</f>
        <v>0</v>
      </c>
      <c r="C23" s="6">
        <f>SUMPRODUCT((Matchs!L6:L11=A23)*(Matchs!M6:M11&gt;Matchs!N6:N11)*ISNUMBER(Matchs!M6:M11)*ISNUMBER(Matchs!N6:N11))+SUMPRODUCT((Matchs!O6:O11=A23)*(Matchs!N6:N11&gt;Matchs!M6:M11)*ISNUMBER(Matchs!M6:M11)*ISNUMBER(Matchs!N6:N11))</f>
        <v>0</v>
      </c>
      <c r="D23" s="6">
        <f>SUMPRODUCT((Matchs!L6:L11=A23)*(Matchs!M6:M11=Matchs!N6:N11)*ISNUMBER(Matchs!M6:M11)*ISNUMBER(Matchs!N6:N11))+SUMPRODUCT((Matchs!O6:O11=A23)*(Matchs!N6:N11=Matchs!M6:M11)*ISNUMBER(Matchs!M6:M11)*ISNUMBER(Matchs!N6:N11))</f>
        <v>0</v>
      </c>
      <c r="E23" s="6">
        <f>SUMPRODUCT((Matchs!L6:L11=A23)*(Matchs!M6:M11&lt;Matchs!N6:N11)*ISNUMBER(Matchs!M6:M11)*ISNUMBER(Matchs!N6:N11))+SUMPRODUCT((Matchs!O6:O11=A23)*(Matchs!N6:N11&lt;Matchs!M6:M11)*ISNUMBER(Matchs!M6:M11)*ISNUMBER(Matchs!N6:N11))</f>
        <v>0</v>
      </c>
      <c r="F23" s="6">
        <f>SUMIF(Matchs!L6:L11,A23,Matchs!M6:M11)+SUMIF(Matchs!O6:O11,A23,Matchs!N6:N11)</f>
        <v>0</v>
      </c>
      <c r="G23" s="6">
        <f>SUMIF(Matchs!L6:L11,A23,Matchs!N6:N11)+SUMIF(Matchs!O6:O11,A23,Matchs!M6:M11)</f>
        <v>0</v>
      </c>
      <c r="H23" s="6">
        <f>F23-G23</f>
        <v>0</v>
      </c>
      <c r="I23" s="12">
        <f>3*C23+D23</f>
        <v>0</v>
      </c>
      <c r="J23" s="13">
        <f>SUMPRODUCT(--(Aux!G2:G5&gt;Aux!G4))+1</f>
        <v>3</v>
      </c>
      <c r="L23" s="11" t="s">
        <v>108</v>
      </c>
      <c r="M23" s="6">
        <f>N23+O23+P23</f>
        <v>0</v>
      </c>
      <c r="N23" s="6">
        <f>SUMPRODUCT((Matchs!L15:L20=L23)*(Matchs!M15:M20&gt;Matchs!N15:N20)*ISNUMBER(Matchs!M15:M20)*ISNUMBER(Matchs!N15:N20))+SUMPRODUCT((Matchs!O15:O20=L23)*(Matchs!N15:N20&gt;Matchs!M15:M20)*ISNUMBER(Matchs!M15:M20)*ISNUMBER(Matchs!N15:N20))</f>
        <v>0</v>
      </c>
      <c r="O23" s="6">
        <f>SUMPRODUCT((Matchs!L15:L20=L23)*(Matchs!M15:M20=Matchs!N15:N20)*ISNUMBER(Matchs!M15:M20)*ISNUMBER(Matchs!N15:N20))+SUMPRODUCT((Matchs!O15:O20=L23)*(Matchs!N15:N20=Matchs!M15:M20)*ISNUMBER(Matchs!M15:M20)*ISNUMBER(Matchs!N15:N20))</f>
        <v>0</v>
      </c>
      <c r="P23" s="6">
        <f>SUMPRODUCT((Matchs!L15:L20=L23)*(Matchs!M15:M20&lt;Matchs!N15:N20)*ISNUMBER(Matchs!M15:M20)*ISNUMBER(Matchs!N15:N20))+SUMPRODUCT((Matchs!O15:O20=L23)*(Matchs!N15:N20&lt;Matchs!M15:M20)*ISNUMBER(Matchs!M15:M20)*ISNUMBER(Matchs!N15:N20))</f>
        <v>0</v>
      </c>
      <c r="Q23" s="6">
        <f>SUMIF(Matchs!L15:L20,L23,Matchs!M15:M20)+SUMIF(Matchs!O15:O20,L23,Matchs!N15:N20)</f>
        <v>0</v>
      </c>
      <c r="R23" s="6">
        <f>SUMIF(Matchs!L15:L20,L23,Matchs!N15:N20)+SUMIF(Matchs!O15:O20,L23,Matchs!M15:M20)</f>
        <v>0</v>
      </c>
      <c r="S23" s="6">
        <f>Q23-R23</f>
        <v>0</v>
      </c>
      <c r="T23" s="12">
        <f>3*N23+O23</f>
        <v>0</v>
      </c>
      <c r="U23" s="13">
        <f>SUMPRODUCT(--(Aux!H2:H5&gt;Aux!H4))+1</f>
        <v>3</v>
      </c>
      <c r="W23" s="11" t="s">
        <v>109</v>
      </c>
      <c r="X23" s="6">
        <f>Y23+Z23+AA23</f>
        <v>0</v>
      </c>
      <c r="Y23" s="6">
        <f>SUMPRODUCT((Matchs!L24:L29=W23)*(Matchs!M24:M29&gt;Matchs!N24:N29)*ISNUMBER(Matchs!M24:M29)*ISNUMBER(Matchs!N24:N29))+SUMPRODUCT((Matchs!O24:O29=W23)*(Matchs!N24:N29&gt;Matchs!M24:M29)*ISNUMBER(Matchs!M24:M29)*ISNUMBER(Matchs!N24:N29))</f>
        <v>0</v>
      </c>
      <c r="Z23" s="6">
        <f>SUMPRODUCT((Matchs!L24:L29=W23)*(Matchs!M24:M29=Matchs!N24:N29)*ISNUMBER(Matchs!M24:M29)*ISNUMBER(Matchs!N24:N29))+SUMPRODUCT((Matchs!O24:O29=W23)*(Matchs!N24:N29=Matchs!M24:M29)*ISNUMBER(Matchs!M24:M29)*ISNUMBER(Matchs!N24:N29))</f>
        <v>0</v>
      </c>
      <c r="AA23" s="6">
        <f>SUMPRODUCT((Matchs!L24:L29=W23)*(Matchs!M24:M29&lt;Matchs!N24:N29)*ISNUMBER(Matchs!M24:M29)*ISNUMBER(Matchs!N24:N29))+SUMPRODUCT((Matchs!O24:O29=W23)*(Matchs!N24:N29&lt;Matchs!M24:M29)*ISNUMBER(Matchs!M24:M29)*ISNUMBER(Matchs!N24:N29))</f>
        <v>0</v>
      </c>
      <c r="AB23" s="6">
        <f>SUMIF(Matchs!L24:L29,W23,Matchs!M24:M29)+SUMIF(Matchs!O24:O29,W23,Matchs!N24:N29)</f>
        <v>0</v>
      </c>
      <c r="AC23" s="6">
        <f>SUMIF(Matchs!L24:L29,W23,Matchs!N24:N29)+SUMIF(Matchs!O24:O29,W23,Matchs!M24:M29)</f>
        <v>0</v>
      </c>
      <c r="AD23" s="6">
        <f>AB23-AC23</f>
        <v>0</v>
      </c>
      <c r="AE23" s="12">
        <f>3*Y23+Z23</f>
        <v>0</v>
      </c>
      <c r="AF23" s="13">
        <f>SUMPRODUCT(--(Aux!I2:I5&gt;Aux!I4))+1</f>
        <v>3</v>
      </c>
    </row>
    <row r="24" spans="1:32" ht="15" customHeight="1" x14ac:dyDescent="0.3">
      <c r="A24" s="11" t="s">
        <v>110</v>
      </c>
      <c r="B24" s="6">
        <f>C24+D24+E24</f>
        <v>0</v>
      </c>
      <c r="C24" s="6">
        <f>SUMPRODUCT((Matchs!L6:L11=A24)*(Matchs!M6:M11&gt;Matchs!N6:N11)*ISNUMBER(Matchs!M6:M11)*ISNUMBER(Matchs!N6:N11))+SUMPRODUCT((Matchs!O6:O11=A24)*(Matchs!N6:N11&gt;Matchs!M6:M11)*ISNUMBER(Matchs!M6:M11)*ISNUMBER(Matchs!N6:N11))</f>
        <v>0</v>
      </c>
      <c r="D24" s="6">
        <f>SUMPRODUCT((Matchs!L6:L11=A24)*(Matchs!M6:M11=Matchs!N6:N11)*ISNUMBER(Matchs!M6:M11)*ISNUMBER(Matchs!N6:N11))+SUMPRODUCT((Matchs!O6:O11=A24)*(Matchs!N6:N11=Matchs!M6:M11)*ISNUMBER(Matchs!M6:M11)*ISNUMBER(Matchs!N6:N11))</f>
        <v>0</v>
      </c>
      <c r="E24" s="6">
        <f>SUMPRODUCT((Matchs!L6:L11=A24)*(Matchs!M6:M11&lt;Matchs!N6:N11)*ISNUMBER(Matchs!M6:M11)*ISNUMBER(Matchs!N6:N11))+SUMPRODUCT((Matchs!O6:O11=A24)*(Matchs!N6:N11&lt;Matchs!M6:M11)*ISNUMBER(Matchs!M6:M11)*ISNUMBER(Matchs!N6:N11))</f>
        <v>0</v>
      </c>
      <c r="F24" s="6">
        <f>SUMIF(Matchs!L6:L11,A24,Matchs!M6:M11)+SUMIF(Matchs!O6:O11,A24,Matchs!N6:N11)</f>
        <v>0</v>
      </c>
      <c r="G24" s="6">
        <f>SUMIF(Matchs!L6:L11,A24,Matchs!N6:N11)+SUMIF(Matchs!O6:O11,A24,Matchs!M6:M11)</f>
        <v>0</v>
      </c>
      <c r="H24" s="6">
        <f>F24-G24</f>
        <v>0</v>
      </c>
      <c r="I24" s="12">
        <f>3*C24+D24</f>
        <v>0</v>
      </c>
      <c r="J24" s="13">
        <f>SUMPRODUCT(--(Aux!G2:G5&gt;Aux!G5))+1</f>
        <v>4</v>
      </c>
      <c r="L24" s="11" t="s">
        <v>111</v>
      </c>
      <c r="M24" s="6">
        <f>N24+O24+P24</f>
        <v>0</v>
      </c>
      <c r="N24" s="6">
        <f>SUMPRODUCT((Matchs!L15:L20=L24)*(Matchs!M15:M20&gt;Matchs!N15:N20)*ISNUMBER(Matchs!M15:M20)*ISNUMBER(Matchs!N15:N20))+SUMPRODUCT((Matchs!O15:O20=L24)*(Matchs!N15:N20&gt;Matchs!M15:M20)*ISNUMBER(Matchs!M15:M20)*ISNUMBER(Matchs!N15:N20))</f>
        <v>0</v>
      </c>
      <c r="O24" s="6">
        <f>SUMPRODUCT((Matchs!L15:L20=L24)*(Matchs!M15:M20=Matchs!N15:N20)*ISNUMBER(Matchs!M15:M20)*ISNUMBER(Matchs!N15:N20))+SUMPRODUCT((Matchs!O15:O20=L24)*(Matchs!N15:N20=Matchs!M15:M20)*ISNUMBER(Matchs!M15:M20)*ISNUMBER(Matchs!N15:N20))</f>
        <v>0</v>
      </c>
      <c r="P24" s="6">
        <f>SUMPRODUCT((Matchs!L15:L20=L24)*(Matchs!M15:M20&lt;Matchs!N15:N20)*ISNUMBER(Matchs!M15:M20)*ISNUMBER(Matchs!N15:N20))+SUMPRODUCT((Matchs!O15:O20=L24)*(Matchs!N15:N20&lt;Matchs!M15:M20)*ISNUMBER(Matchs!M15:M20)*ISNUMBER(Matchs!N15:N20))</f>
        <v>0</v>
      </c>
      <c r="Q24" s="6">
        <f>SUMIF(Matchs!L15:L20,L24,Matchs!M15:M20)+SUMIF(Matchs!O15:O20,L24,Matchs!N15:N20)</f>
        <v>0</v>
      </c>
      <c r="R24" s="6">
        <f>SUMIF(Matchs!L15:L20,L24,Matchs!N15:N20)+SUMIF(Matchs!O15:O20,L24,Matchs!M15:M20)</f>
        <v>0</v>
      </c>
      <c r="S24" s="6">
        <f>Q24-R24</f>
        <v>0</v>
      </c>
      <c r="T24" s="12">
        <f>3*N24+O24</f>
        <v>0</v>
      </c>
      <c r="U24" s="13">
        <f>SUMPRODUCT(--(Aux!H2:H5&gt;Aux!H5))+1</f>
        <v>4</v>
      </c>
      <c r="W24" s="11" t="s">
        <v>112</v>
      </c>
      <c r="X24" s="6">
        <f>Y24+Z24+AA24</f>
        <v>0</v>
      </c>
      <c r="Y24" s="6">
        <f>SUMPRODUCT((Matchs!L24:L29=W24)*(Matchs!M24:M29&gt;Matchs!N24:N29)*ISNUMBER(Matchs!M24:M29)*ISNUMBER(Matchs!N24:N29))+SUMPRODUCT((Matchs!O24:O29=W24)*(Matchs!N24:N29&gt;Matchs!M24:M29)*ISNUMBER(Matchs!M24:M29)*ISNUMBER(Matchs!N24:N29))</f>
        <v>0</v>
      </c>
      <c r="Z24" s="6">
        <f>SUMPRODUCT((Matchs!L24:L29=W24)*(Matchs!M24:M29=Matchs!N24:N29)*ISNUMBER(Matchs!M24:M29)*ISNUMBER(Matchs!N24:N29))+SUMPRODUCT((Matchs!O24:O29=W24)*(Matchs!N24:N29=Matchs!M24:M29)*ISNUMBER(Matchs!M24:M29)*ISNUMBER(Matchs!N24:N29))</f>
        <v>0</v>
      </c>
      <c r="AA24" s="6">
        <f>SUMPRODUCT((Matchs!L24:L29=W24)*(Matchs!M24:M29&lt;Matchs!N24:N29)*ISNUMBER(Matchs!M24:M29)*ISNUMBER(Matchs!N24:N29))+SUMPRODUCT((Matchs!O24:O29=W24)*(Matchs!N24:N29&lt;Matchs!M24:M29)*ISNUMBER(Matchs!M24:M29)*ISNUMBER(Matchs!N24:N29))</f>
        <v>0</v>
      </c>
      <c r="AB24" s="6">
        <f>SUMIF(Matchs!L24:L29,W24,Matchs!M24:M29)+SUMIF(Matchs!O24:O29,W24,Matchs!N24:N29)</f>
        <v>0</v>
      </c>
      <c r="AC24" s="6">
        <f>SUMIF(Matchs!L24:L29,W24,Matchs!N24:N29)+SUMIF(Matchs!O24:O29,W24,Matchs!M24:M29)</f>
        <v>0</v>
      </c>
      <c r="AD24" s="6">
        <f>AB24-AC24</f>
        <v>0</v>
      </c>
      <c r="AE24" s="12">
        <f>3*Y24+Z24</f>
        <v>0</v>
      </c>
      <c r="AF24" s="13">
        <f>SUMPRODUCT(--(Aux!I2:I5&gt;Aux!I5))+1</f>
        <v>4</v>
      </c>
    </row>
    <row r="27" spans="1:32" ht="15" customHeight="1" x14ac:dyDescent="0.3">
      <c r="A27" s="3" t="s">
        <v>54</v>
      </c>
      <c r="B27" s="4"/>
      <c r="C27" s="4"/>
      <c r="D27" s="4"/>
      <c r="E27" s="4"/>
      <c r="F27" s="4"/>
      <c r="G27" s="4"/>
      <c r="H27" s="4"/>
      <c r="I27" s="4"/>
      <c r="J27" s="4"/>
      <c r="L27" s="3" t="s">
        <v>61</v>
      </c>
      <c r="M27" s="4"/>
      <c r="N27" s="4"/>
      <c r="O27" s="4"/>
      <c r="P27" s="4"/>
      <c r="Q27" s="4"/>
      <c r="R27" s="4"/>
      <c r="S27" s="4"/>
      <c r="T27" s="4"/>
      <c r="U27" s="4"/>
      <c r="W27" s="3" t="s">
        <v>66</v>
      </c>
      <c r="X27" s="4"/>
      <c r="Y27" s="4"/>
      <c r="Z27" s="4"/>
      <c r="AA27" s="4"/>
      <c r="AB27" s="4"/>
      <c r="AC27" s="4"/>
      <c r="AD27" s="4"/>
      <c r="AE27" s="4"/>
      <c r="AF27" s="4"/>
    </row>
    <row r="28" spans="1:32" ht="15" customHeight="1" x14ac:dyDescent="0.3">
      <c r="A28" s="5" t="s">
        <v>67</v>
      </c>
      <c r="B28" s="5" t="s">
        <v>68</v>
      </c>
      <c r="C28" s="5" t="s">
        <v>69</v>
      </c>
      <c r="D28" s="5" t="s">
        <v>70</v>
      </c>
      <c r="E28" s="5" t="s">
        <v>71</v>
      </c>
      <c r="F28" s="5" t="s">
        <v>72</v>
      </c>
      <c r="G28" s="5" t="s">
        <v>73</v>
      </c>
      <c r="H28" s="5" t="s">
        <v>74</v>
      </c>
      <c r="I28" s="5" t="s">
        <v>75</v>
      </c>
      <c r="J28" s="5" t="s">
        <v>76</v>
      </c>
      <c r="L28" s="5" t="s">
        <v>67</v>
      </c>
      <c r="M28" s="5" t="s">
        <v>68</v>
      </c>
      <c r="N28" s="5" t="s">
        <v>69</v>
      </c>
      <c r="O28" s="5" t="s">
        <v>70</v>
      </c>
      <c r="P28" s="5" t="s">
        <v>71</v>
      </c>
      <c r="Q28" s="5" t="s">
        <v>72</v>
      </c>
      <c r="R28" s="5" t="s">
        <v>73</v>
      </c>
      <c r="S28" s="5" t="s">
        <v>74</v>
      </c>
      <c r="T28" s="5" t="s">
        <v>75</v>
      </c>
      <c r="U28" s="5" t="s">
        <v>76</v>
      </c>
      <c r="W28" s="5" t="s">
        <v>67</v>
      </c>
      <c r="X28" s="5" t="s">
        <v>68</v>
      </c>
      <c r="Y28" s="5" t="s">
        <v>69</v>
      </c>
      <c r="Z28" s="5" t="s">
        <v>70</v>
      </c>
      <c r="AA28" s="5" t="s">
        <v>71</v>
      </c>
      <c r="AB28" s="5" t="s">
        <v>72</v>
      </c>
      <c r="AC28" s="5" t="s">
        <v>73</v>
      </c>
      <c r="AD28" s="5" t="s">
        <v>74</v>
      </c>
      <c r="AE28" s="5" t="s">
        <v>75</v>
      </c>
      <c r="AF28" s="5" t="s">
        <v>76</v>
      </c>
    </row>
    <row r="29" spans="1:32" ht="15" customHeight="1" x14ac:dyDescent="0.3">
      <c r="A29" s="11" t="s">
        <v>113</v>
      </c>
      <c r="B29" s="6">
        <f>C29+D29+E29</f>
        <v>0</v>
      </c>
      <c r="C29" s="6">
        <f>SUMPRODUCT((Matchs!L33:L38=A29)*(Matchs!M33:M38&gt;Matchs!N33:N38)*ISNUMBER(Matchs!M33:M38)*ISNUMBER(Matchs!N33:N38))+SUMPRODUCT((Matchs!O33:O38=A29)*(Matchs!N33:N38&gt;Matchs!M33:M38)*ISNUMBER(Matchs!M33:M38)*ISNUMBER(Matchs!N33:N38))</f>
        <v>0</v>
      </c>
      <c r="D29" s="6">
        <f>SUMPRODUCT((Matchs!L33:L38=A29)*(Matchs!M33:M38=Matchs!N33:N38)*ISNUMBER(Matchs!M33:M38)*ISNUMBER(Matchs!N33:N38))+SUMPRODUCT((Matchs!O33:O38=A29)*(Matchs!N33:N38=Matchs!M33:M38)*ISNUMBER(Matchs!M33:M38)*ISNUMBER(Matchs!N33:N38))</f>
        <v>0</v>
      </c>
      <c r="E29" s="6">
        <f>SUMPRODUCT((Matchs!L33:L38=A29)*(Matchs!M33:M38&lt;Matchs!N33:N38)*ISNUMBER(Matchs!M33:M38)*ISNUMBER(Matchs!N33:N38))+SUMPRODUCT((Matchs!O33:O38=A29)*(Matchs!N33:N38&lt;Matchs!M33:M38)*ISNUMBER(Matchs!M33:M38)*ISNUMBER(Matchs!N33:N38))</f>
        <v>0</v>
      </c>
      <c r="F29" s="6">
        <f>SUMIF(Matchs!L33:L38,A29,Matchs!M33:M38)+SUMIF(Matchs!O33:O38,A29,Matchs!N33:N38)</f>
        <v>0</v>
      </c>
      <c r="G29" s="6">
        <f>SUMIF(Matchs!L33:L38,A29,Matchs!N33:N38)+SUMIF(Matchs!O33:O38,A29,Matchs!M33:M38)</f>
        <v>0</v>
      </c>
      <c r="H29" s="6">
        <f>F29-G29</f>
        <v>0</v>
      </c>
      <c r="I29" s="12">
        <f>3*C29+D29</f>
        <v>0</v>
      </c>
      <c r="J29" s="13">
        <f>SUMPRODUCT(--(Aux!J2:J5&gt;Aux!J2))+1</f>
        <v>1</v>
      </c>
      <c r="L29" s="11" t="s">
        <v>114</v>
      </c>
      <c r="M29" s="6">
        <f>N29+O29+P29</f>
        <v>0</v>
      </c>
      <c r="N29" s="6">
        <f>SUMPRODUCT((Matchs!L42:L47=L29)*(Matchs!M42:M47&gt;Matchs!N42:N47)*ISNUMBER(Matchs!M42:M47)*ISNUMBER(Matchs!N42:N47))+SUMPRODUCT((Matchs!O42:O47=L29)*(Matchs!N42:N47&gt;Matchs!M42:M47)*ISNUMBER(Matchs!M42:M47)*ISNUMBER(Matchs!N42:N47))</f>
        <v>0</v>
      </c>
      <c r="O29" s="6">
        <f>SUMPRODUCT((Matchs!L42:L47=L29)*(Matchs!M42:M47=Matchs!N42:N47)*ISNUMBER(Matchs!M42:M47)*ISNUMBER(Matchs!N42:N47))+SUMPRODUCT((Matchs!O42:O47=L29)*(Matchs!N42:N47=Matchs!M42:M47)*ISNUMBER(Matchs!M42:M47)*ISNUMBER(Matchs!N42:N47))</f>
        <v>0</v>
      </c>
      <c r="P29" s="6">
        <f>SUMPRODUCT((Matchs!L42:L47=L29)*(Matchs!M42:M47&lt;Matchs!N42:N47)*ISNUMBER(Matchs!M42:M47)*ISNUMBER(Matchs!N42:N47))+SUMPRODUCT((Matchs!O42:O47=L29)*(Matchs!N42:N47&lt;Matchs!M42:M47)*ISNUMBER(Matchs!M42:M47)*ISNUMBER(Matchs!N42:N47))</f>
        <v>0</v>
      </c>
      <c r="Q29" s="6">
        <f>SUMIF(Matchs!L42:L47,L29,Matchs!M42:M47)+SUMIF(Matchs!O42:O47,L29,Matchs!N42:N47)</f>
        <v>0</v>
      </c>
      <c r="R29" s="6">
        <f>SUMIF(Matchs!L42:L47,L29,Matchs!N42:N47)+SUMIF(Matchs!O42:O47,L29,Matchs!M42:M47)</f>
        <v>0</v>
      </c>
      <c r="S29" s="6">
        <f>Q29-R29</f>
        <v>0</v>
      </c>
      <c r="T29" s="12">
        <f>3*N29+O29</f>
        <v>0</v>
      </c>
      <c r="U29" s="13">
        <f>SUMPRODUCT(--(Aux!K2:K5&gt;Aux!K2))+1</f>
        <v>1</v>
      </c>
      <c r="W29" s="11" t="s">
        <v>115</v>
      </c>
      <c r="X29" s="6">
        <f>Y29+Z29+AA29</f>
        <v>0</v>
      </c>
      <c r="Y29" s="6">
        <f>SUMPRODUCT((Matchs!L51:L56=W29)*(Matchs!M51:M56&gt;Matchs!N51:N56)*ISNUMBER(Matchs!M51:M56)*ISNUMBER(Matchs!N51:N56))+SUMPRODUCT((Matchs!O51:O56=W29)*(Matchs!N51:N56&gt;Matchs!M51:M56)*ISNUMBER(Matchs!M51:M56)*ISNUMBER(Matchs!N51:N56))</f>
        <v>0</v>
      </c>
      <c r="Z29" s="6">
        <f>SUMPRODUCT((Matchs!L51:L56=W29)*(Matchs!M51:M56=Matchs!N51:N56)*ISNUMBER(Matchs!M51:M56)*ISNUMBER(Matchs!N51:N56))+SUMPRODUCT((Matchs!O51:O56=W29)*(Matchs!N51:N56=Matchs!M51:M56)*ISNUMBER(Matchs!M51:M56)*ISNUMBER(Matchs!N51:N56))</f>
        <v>0</v>
      </c>
      <c r="AA29" s="6">
        <f>SUMPRODUCT((Matchs!L51:L56=W29)*(Matchs!M51:M56&lt;Matchs!N51:N56)*ISNUMBER(Matchs!M51:M56)*ISNUMBER(Matchs!N51:N56))+SUMPRODUCT((Matchs!O51:O56=W29)*(Matchs!N51:N56&lt;Matchs!M51:M56)*ISNUMBER(Matchs!M51:M56)*ISNUMBER(Matchs!N51:N56))</f>
        <v>0</v>
      </c>
      <c r="AB29" s="6">
        <f>SUMIF(Matchs!L51:L56,W29,Matchs!M51:M56)+SUMIF(Matchs!O51:O56,W29,Matchs!N51:N56)</f>
        <v>0</v>
      </c>
      <c r="AC29" s="6">
        <f>SUMIF(Matchs!L51:L56,W29,Matchs!N51:N56)+SUMIF(Matchs!O51:O56,W29,Matchs!M51:M56)</f>
        <v>0</v>
      </c>
      <c r="AD29" s="6">
        <f>AB29-AC29</f>
        <v>0</v>
      </c>
      <c r="AE29" s="12">
        <f>3*Y29+Z29</f>
        <v>0</v>
      </c>
      <c r="AF29" s="13">
        <f>SUMPRODUCT(--(Aux!L2:L5&gt;Aux!L2))+1</f>
        <v>1</v>
      </c>
    </row>
    <row r="30" spans="1:32" ht="15" customHeight="1" x14ac:dyDescent="0.3">
      <c r="A30" s="11" t="s">
        <v>116</v>
      </c>
      <c r="B30" s="6">
        <f>C30+D30+E30</f>
        <v>0</v>
      </c>
      <c r="C30" s="6">
        <f>SUMPRODUCT((Matchs!L33:L38=A30)*(Matchs!M33:M38&gt;Matchs!N33:N38)*ISNUMBER(Matchs!M33:M38)*ISNUMBER(Matchs!N33:N38))+SUMPRODUCT((Matchs!O33:O38=A30)*(Matchs!N33:N38&gt;Matchs!M33:M38)*ISNUMBER(Matchs!M33:M38)*ISNUMBER(Matchs!N33:N38))</f>
        <v>0</v>
      </c>
      <c r="D30" s="6">
        <f>SUMPRODUCT((Matchs!L33:L38=A30)*(Matchs!M33:M38=Matchs!N33:N38)*ISNUMBER(Matchs!M33:M38)*ISNUMBER(Matchs!N33:N38))+SUMPRODUCT((Matchs!O33:O38=A30)*(Matchs!N33:N38=Matchs!M33:M38)*ISNUMBER(Matchs!M33:M38)*ISNUMBER(Matchs!N33:N38))</f>
        <v>0</v>
      </c>
      <c r="E30" s="6">
        <f>SUMPRODUCT((Matchs!L33:L38=A30)*(Matchs!M33:M38&lt;Matchs!N33:N38)*ISNUMBER(Matchs!M33:M38)*ISNUMBER(Matchs!N33:N38))+SUMPRODUCT((Matchs!O33:O38=A30)*(Matchs!N33:N38&lt;Matchs!M33:M38)*ISNUMBER(Matchs!M33:M38)*ISNUMBER(Matchs!N33:N38))</f>
        <v>0</v>
      </c>
      <c r="F30" s="6">
        <f>SUMIF(Matchs!L33:L38,A30,Matchs!M33:M38)+SUMIF(Matchs!O33:O38,A30,Matchs!N33:N38)</f>
        <v>0</v>
      </c>
      <c r="G30" s="6">
        <f>SUMIF(Matchs!L33:L38,A30,Matchs!N33:N38)+SUMIF(Matchs!O33:O38,A30,Matchs!M33:M38)</f>
        <v>0</v>
      </c>
      <c r="H30" s="6">
        <f>F30-G30</f>
        <v>0</v>
      </c>
      <c r="I30" s="12">
        <f>3*C30+D30</f>
        <v>0</v>
      </c>
      <c r="J30" s="13">
        <f>SUMPRODUCT(--(Aux!J2:J5&gt;Aux!J3))+1</f>
        <v>2</v>
      </c>
      <c r="L30" s="11" t="s">
        <v>117</v>
      </c>
      <c r="M30" s="6">
        <f>N30+O30+P30</f>
        <v>0</v>
      </c>
      <c r="N30" s="6">
        <f>SUMPRODUCT((Matchs!L42:L47=L30)*(Matchs!M42:M47&gt;Matchs!N42:N47)*ISNUMBER(Matchs!M42:M47)*ISNUMBER(Matchs!N42:N47))+SUMPRODUCT((Matchs!O42:O47=L30)*(Matchs!N42:N47&gt;Matchs!M42:M47)*ISNUMBER(Matchs!M42:M47)*ISNUMBER(Matchs!N42:N47))</f>
        <v>0</v>
      </c>
      <c r="O30" s="6">
        <f>SUMPRODUCT((Matchs!L42:L47=L30)*(Matchs!M42:M47=Matchs!N42:N47)*ISNUMBER(Matchs!M42:M47)*ISNUMBER(Matchs!N42:N47))+SUMPRODUCT((Matchs!O42:O47=L30)*(Matchs!N42:N47=Matchs!M42:M47)*ISNUMBER(Matchs!M42:M47)*ISNUMBER(Matchs!N42:N47))</f>
        <v>0</v>
      </c>
      <c r="P30" s="6">
        <f>SUMPRODUCT((Matchs!L42:L47=L30)*(Matchs!M42:M47&lt;Matchs!N42:N47)*ISNUMBER(Matchs!M42:M47)*ISNUMBER(Matchs!N42:N47))+SUMPRODUCT((Matchs!O42:O47=L30)*(Matchs!N42:N47&lt;Matchs!M42:M47)*ISNUMBER(Matchs!M42:M47)*ISNUMBER(Matchs!N42:N47))</f>
        <v>0</v>
      </c>
      <c r="Q30" s="6">
        <f>SUMIF(Matchs!L42:L47,L30,Matchs!M42:M47)+SUMIF(Matchs!O42:O47,L30,Matchs!N42:N47)</f>
        <v>0</v>
      </c>
      <c r="R30" s="6">
        <f>SUMIF(Matchs!L42:L47,L30,Matchs!N42:N47)+SUMIF(Matchs!O42:O47,L30,Matchs!M42:M47)</f>
        <v>0</v>
      </c>
      <c r="S30" s="6">
        <f>Q30-R30</f>
        <v>0</v>
      </c>
      <c r="T30" s="12">
        <f>3*N30+O30</f>
        <v>0</v>
      </c>
      <c r="U30" s="13">
        <f>SUMPRODUCT(--(Aux!K2:K5&gt;Aux!K3))+1</f>
        <v>2</v>
      </c>
      <c r="W30" s="11" t="s">
        <v>118</v>
      </c>
      <c r="X30" s="6">
        <f>Y30+Z30+AA30</f>
        <v>0</v>
      </c>
      <c r="Y30" s="6">
        <f>SUMPRODUCT((Matchs!L51:L56=W30)*(Matchs!M51:M56&gt;Matchs!N51:N56)*ISNUMBER(Matchs!M51:M56)*ISNUMBER(Matchs!N51:N56))+SUMPRODUCT((Matchs!O51:O56=W30)*(Matchs!N51:N56&gt;Matchs!M51:M56)*ISNUMBER(Matchs!M51:M56)*ISNUMBER(Matchs!N51:N56))</f>
        <v>0</v>
      </c>
      <c r="Z30" s="6">
        <f>SUMPRODUCT((Matchs!L51:L56=W30)*(Matchs!M51:M56=Matchs!N51:N56)*ISNUMBER(Matchs!M51:M56)*ISNUMBER(Matchs!N51:N56))+SUMPRODUCT((Matchs!O51:O56=W30)*(Matchs!N51:N56=Matchs!M51:M56)*ISNUMBER(Matchs!M51:M56)*ISNUMBER(Matchs!N51:N56))</f>
        <v>0</v>
      </c>
      <c r="AA30" s="6">
        <f>SUMPRODUCT((Matchs!L51:L56=W30)*(Matchs!M51:M56&lt;Matchs!N51:N56)*ISNUMBER(Matchs!M51:M56)*ISNUMBER(Matchs!N51:N56))+SUMPRODUCT((Matchs!O51:O56=W30)*(Matchs!N51:N56&lt;Matchs!M51:M56)*ISNUMBER(Matchs!M51:M56)*ISNUMBER(Matchs!N51:N56))</f>
        <v>0</v>
      </c>
      <c r="AB30" s="6">
        <f>SUMIF(Matchs!L51:L56,W30,Matchs!M51:M56)+SUMIF(Matchs!O51:O56,W30,Matchs!N51:N56)</f>
        <v>0</v>
      </c>
      <c r="AC30" s="6">
        <f>SUMIF(Matchs!L51:L56,W30,Matchs!N51:N56)+SUMIF(Matchs!O51:O56,W30,Matchs!M51:M56)</f>
        <v>0</v>
      </c>
      <c r="AD30" s="6">
        <f>AB30-AC30</f>
        <v>0</v>
      </c>
      <c r="AE30" s="12">
        <f>3*Y30+Z30</f>
        <v>0</v>
      </c>
      <c r="AF30" s="13">
        <f>SUMPRODUCT(--(Aux!L2:L5&gt;Aux!L3))+1</f>
        <v>2</v>
      </c>
    </row>
    <row r="31" spans="1:32" ht="15" customHeight="1" x14ac:dyDescent="0.3">
      <c r="A31" s="11" t="s">
        <v>119</v>
      </c>
      <c r="B31" s="6">
        <f>C31+D31+E31</f>
        <v>0</v>
      </c>
      <c r="C31" s="6">
        <f>SUMPRODUCT((Matchs!L33:L38=A31)*(Matchs!M33:M38&gt;Matchs!N33:N38)*ISNUMBER(Matchs!M33:M38)*ISNUMBER(Matchs!N33:N38))+SUMPRODUCT((Matchs!O33:O38=A31)*(Matchs!N33:N38&gt;Matchs!M33:M38)*ISNUMBER(Matchs!M33:M38)*ISNUMBER(Matchs!N33:N38))</f>
        <v>0</v>
      </c>
      <c r="D31" s="6">
        <f>SUMPRODUCT((Matchs!L33:L38=A31)*(Matchs!M33:M38=Matchs!N33:N38)*ISNUMBER(Matchs!M33:M38)*ISNUMBER(Matchs!N33:N38))+SUMPRODUCT((Matchs!O33:O38=A31)*(Matchs!N33:N38=Matchs!M33:M38)*ISNUMBER(Matchs!M33:M38)*ISNUMBER(Matchs!N33:N38))</f>
        <v>0</v>
      </c>
      <c r="E31" s="6">
        <f>SUMPRODUCT((Matchs!L33:L38=A31)*(Matchs!M33:M38&lt;Matchs!N33:N38)*ISNUMBER(Matchs!M33:M38)*ISNUMBER(Matchs!N33:N38))+SUMPRODUCT((Matchs!O33:O38=A31)*(Matchs!N33:N38&lt;Matchs!M33:M38)*ISNUMBER(Matchs!M33:M38)*ISNUMBER(Matchs!N33:N38))</f>
        <v>0</v>
      </c>
      <c r="F31" s="6">
        <f>SUMIF(Matchs!L33:L38,A31,Matchs!M33:M38)+SUMIF(Matchs!O33:O38,A31,Matchs!N33:N38)</f>
        <v>0</v>
      </c>
      <c r="G31" s="6">
        <f>SUMIF(Matchs!L33:L38,A31,Matchs!N33:N38)+SUMIF(Matchs!O33:O38,A31,Matchs!M33:M38)</f>
        <v>0</v>
      </c>
      <c r="H31" s="6">
        <f>F31-G31</f>
        <v>0</v>
      </c>
      <c r="I31" s="12">
        <f>3*C31+D31</f>
        <v>0</v>
      </c>
      <c r="J31" s="13">
        <f>SUMPRODUCT(--(Aux!J2:J5&gt;Aux!J4))+1</f>
        <v>3</v>
      </c>
      <c r="L31" s="11" t="s">
        <v>120</v>
      </c>
      <c r="M31" s="6">
        <f>N31+O31+P31</f>
        <v>0</v>
      </c>
      <c r="N31" s="6">
        <f>SUMPRODUCT((Matchs!L42:L47=L31)*(Matchs!M42:M47&gt;Matchs!N42:N47)*ISNUMBER(Matchs!M42:M47)*ISNUMBER(Matchs!N42:N47))+SUMPRODUCT((Matchs!O42:O47=L31)*(Matchs!N42:N47&gt;Matchs!M42:M47)*ISNUMBER(Matchs!M42:M47)*ISNUMBER(Matchs!N42:N47))</f>
        <v>0</v>
      </c>
      <c r="O31" s="6">
        <f>SUMPRODUCT((Matchs!L42:L47=L31)*(Matchs!M42:M47=Matchs!N42:N47)*ISNUMBER(Matchs!M42:M47)*ISNUMBER(Matchs!N42:N47))+SUMPRODUCT((Matchs!O42:O47=L31)*(Matchs!N42:N47=Matchs!M42:M47)*ISNUMBER(Matchs!M42:M47)*ISNUMBER(Matchs!N42:N47))</f>
        <v>0</v>
      </c>
      <c r="P31" s="6">
        <f>SUMPRODUCT((Matchs!L42:L47=L31)*(Matchs!M42:M47&lt;Matchs!N42:N47)*ISNUMBER(Matchs!M42:M47)*ISNUMBER(Matchs!N42:N47))+SUMPRODUCT((Matchs!O42:O47=L31)*(Matchs!N42:N47&lt;Matchs!M42:M47)*ISNUMBER(Matchs!M42:M47)*ISNUMBER(Matchs!N42:N47))</f>
        <v>0</v>
      </c>
      <c r="Q31" s="6">
        <f>SUMIF(Matchs!L42:L47,L31,Matchs!M42:M47)+SUMIF(Matchs!O42:O47,L31,Matchs!N42:N47)</f>
        <v>0</v>
      </c>
      <c r="R31" s="6">
        <f>SUMIF(Matchs!L42:L47,L31,Matchs!N42:N47)+SUMIF(Matchs!O42:O47,L31,Matchs!M42:M47)</f>
        <v>0</v>
      </c>
      <c r="S31" s="6">
        <f>Q31-R31</f>
        <v>0</v>
      </c>
      <c r="T31" s="12">
        <f>3*N31+O31</f>
        <v>0</v>
      </c>
      <c r="U31" s="13">
        <f>SUMPRODUCT(--(Aux!K2:K5&gt;Aux!K4))+1</f>
        <v>3</v>
      </c>
      <c r="W31" s="11" t="s">
        <v>121</v>
      </c>
      <c r="X31" s="6">
        <f>Y31+Z31+AA31</f>
        <v>0</v>
      </c>
      <c r="Y31" s="6">
        <f>SUMPRODUCT((Matchs!L51:L56=W31)*(Matchs!M51:M56&gt;Matchs!N51:N56)*ISNUMBER(Matchs!M51:M56)*ISNUMBER(Matchs!N51:N56))+SUMPRODUCT((Matchs!O51:O56=W31)*(Matchs!N51:N56&gt;Matchs!M51:M56)*ISNUMBER(Matchs!M51:M56)*ISNUMBER(Matchs!N51:N56))</f>
        <v>0</v>
      </c>
      <c r="Z31" s="6">
        <f>SUMPRODUCT((Matchs!L51:L56=W31)*(Matchs!M51:M56=Matchs!N51:N56)*ISNUMBER(Matchs!M51:M56)*ISNUMBER(Matchs!N51:N56))+SUMPRODUCT((Matchs!O51:O56=W31)*(Matchs!N51:N56=Matchs!M51:M56)*ISNUMBER(Matchs!M51:M56)*ISNUMBER(Matchs!N51:N56))</f>
        <v>0</v>
      </c>
      <c r="AA31" s="6">
        <f>SUMPRODUCT((Matchs!L51:L56=W31)*(Matchs!M51:M56&lt;Matchs!N51:N56)*ISNUMBER(Matchs!M51:M56)*ISNUMBER(Matchs!N51:N56))+SUMPRODUCT((Matchs!O51:O56=W31)*(Matchs!N51:N56&lt;Matchs!M51:M56)*ISNUMBER(Matchs!M51:M56)*ISNUMBER(Matchs!N51:N56))</f>
        <v>0</v>
      </c>
      <c r="AB31" s="6">
        <f>SUMIF(Matchs!L51:L56,W31,Matchs!M51:M56)+SUMIF(Matchs!O51:O56,W31,Matchs!N51:N56)</f>
        <v>0</v>
      </c>
      <c r="AC31" s="6">
        <f>SUMIF(Matchs!L51:L56,W31,Matchs!N51:N56)+SUMIF(Matchs!O51:O56,W31,Matchs!M51:M56)</f>
        <v>0</v>
      </c>
      <c r="AD31" s="6">
        <f>AB31-AC31</f>
        <v>0</v>
      </c>
      <c r="AE31" s="12">
        <f>3*Y31+Z31</f>
        <v>0</v>
      </c>
      <c r="AF31" s="13">
        <f>SUMPRODUCT(--(Aux!L2:L5&gt;Aux!L4))+1</f>
        <v>3</v>
      </c>
    </row>
    <row r="32" spans="1:32" ht="15" customHeight="1" x14ac:dyDescent="0.3">
      <c r="A32" s="11" t="s">
        <v>122</v>
      </c>
      <c r="B32" s="6">
        <f>C32+D32+E32</f>
        <v>0</v>
      </c>
      <c r="C32" s="6">
        <f>SUMPRODUCT((Matchs!L33:L38=A32)*(Matchs!M33:M38&gt;Matchs!N33:N38)*ISNUMBER(Matchs!M33:M38)*ISNUMBER(Matchs!N33:N38))+SUMPRODUCT((Matchs!O33:O38=A32)*(Matchs!N33:N38&gt;Matchs!M33:M38)*ISNUMBER(Matchs!M33:M38)*ISNUMBER(Matchs!N33:N38))</f>
        <v>0</v>
      </c>
      <c r="D32" s="6">
        <f>SUMPRODUCT((Matchs!L33:L38=A32)*(Matchs!M33:M38=Matchs!N33:N38)*ISNUMBER(Matchs!M33:M38)*ISNUMBER(Matchs!N33:N38))+SUMPRODUCT((Matchs!O33:O38=A32)*(Matchs!N33:N38=Matchs!M33:M38)*ISNUMBER(Matchs!M33:M38)*ISNUMBER(Matchs!N33:N38))</f>
        <v>0</v>
      </c>
      <c r="E32" s="6">
        <f>SUMPRODUCT((Matchs!L33:L38=A32)*(Matchs!M33:M38&lt;Matchs!N33:N38)*ISNUMBER(Matchs!M33:M38)*ISNUMBER(Matchs!N33:N38))+SUMPRODUCT((Matchs!O33:O38=A32)*(Matchs!N33:N38&lt;Matchs!M33:M38)*ISNUMBER(Matchs!M33:M38)*ISNUMBER(Matchs!N33:N38))</f>
        <v>0</v>
      </c>
      <c r="F32" s="6">
        <f>SUMIF(Matchs!L33:L38,A32,Matchs!M33:M38)+SUMIF(Matchs!O33:O38,A32,Matchs!N33:N38)</f>
        <v>0</v>
      </c>
      <c r="G32" s="6">
        <f>SUMIF(Matchs!L33:L38,A32,Matchs!N33:N38)+SUMIF(Matchs!O33:O38,A32,Matchs!M33:M38)</f>
        <v>0</v>
      </c>
      <c r="H32" s="6">
        <f>F32-G32</f>
        <v>0</v>
      </c>
      <c r="I32" s="12">
        <f>3*C32+D32</f>
        <v>0</v>
      </c>
      <c r="J32" s="13">
        <f>SUMPRODUCT(--(Aux!J2:J5&gt;Aux!J5))+1</f>
        <v>4</v>
      </c>
      <c r="L32" s="11" t="s">
        <v>123</v>
      </c>
      <c r="M32" s="6">
        <f>N32+O32+P32</f>
        <v>0</v>
      </c>
      <c r="N32" s="6">
        <f>SUMPRODUCT((Matchs!L42:L47=L32)*(Matchs!M42:M47&gt;Matchs!N42:N47)*ISNUMBER(Matchs!M42:M47)*ISNUMBER(Matchs!N42:N47))+SUMPRODUCT((Matchs!O42:O47=L32)*(Matchs!N42:N47&gt;Matchs!M42:M47)*ISNUMBER(Matchs!M42:M47)*ISNUMBER(Matchs!N42:N47))</f>
        <v>0</v>
      </c>
      <c r="O32" s="6">
        <f>SUMPRODUCT((Matchs!L42:L47=L32)*(Matchs!M42:M47=Matchs!N42:N47)*ISNUMBER(Matchs!M42:M47)*ISNUMBER(Matchs!N42:N47))+SUMPRODUCT((Matchs!O42:O47=L32)*(Matchs!N42:N47=Matchs!M42:M47)*ISNUMBER(Matchs!M42:M47)*ISNUMBER(Matchs!N42:N47))</f>
        <v>0</v>
      </c>
      <c r="P32" s="6">
        <f>SUMPRODUCT((Matchs!L42:L47=L32)*(Matchs!M42:M47&lt;Matchs!N42:N47)*ISNUMBER(Matchs!M42:M47)*ISNUMBER(Matchs!N42:N47))+SUMPRODUCT((Matchs!O42:O47=L32)*(Matchs!N42:N47&lt;Matchs!M42:M47)*ISNUMBER(Matchs!M42:M47)*ISNUMBER(Matchs!N42:N47))</f>
        <v>0</v>
      </c>
      <c r="Q32" s="6">
        <f>SUMIF(Matchs!L42:L47,L32,Matchs!M42:M47)+SUMIF(Matchs!O42:O47,L32,Matchs!N42:N47)</f>
        <v>0</v>
      </c>
      <c r="R32" s="6">
        <f>SUMIF(Matchs!L42:L47,L32,Matchs!N42:N47)+SUMIF(Matchs!O42:O47,L32,Matchs!M42:M47)</f>
        <v>0</v>
      </c>
      <c r="S32" s="6">
        <f>Q32-R32</f>
        <v>0</v>
      </c>
      <c r="T32" s="12">
        <f>3*N32+O32</f>
        <v>0</v>
      </c>
      <c r="U32" s="13">
        <f>SUMPRODUCT(--(Aux!K2:K5&gt;Aux!K5))+1</f>
        <v>4</v>
      </c>
      <c r="W32" s="11" t="s">
        <v>124</v>
      </c>
      <c r="X32" s="6">
        <f>Y32+Z32+AA32</f>
        <v>0</v>
      </c>
      <c r="Y32" s="6">
        <f>SUMPRODUCT((Matchs!L51:L56=W32)*(Matchs!M51:M56&gt;Matchs!N51:N56)*ISNUMBER(Matchs!M51:M56)*ISNUMBER(Matchs!N51:N56))+SUMPRODUCT((Matchs!O51:O56=W32)*(Matchs!N51:N56&gt;Matchs!M51:M56)*ISNUMBER(Matchs!M51:M56)*ISNUMBER(Matchs!N51:N56))</f>
        <v>0</v>
      </c>
      <c r="Z32" s="6">
        <f>SUMPRODUCT((Matchs!L51:L56=W32)*(Matchs!M51:M56=Matchs!N51:N56)*ISNUMBER(Matchs!M51:M56)*ISNUMBER(Matchs!N51:N56))+SUMPRODUCT((Matchs!O51:O56=W32)*(Matchs!N51:N56=Matchs!M51:M56)*ISNUMBER(Matchs!M51:M56)*ISNUMBER(Matchs!N51:N56))</f>
        <v>0</v>
      </c>
      <c r="AA32" s="6">
        <f>SUMPRODUCT((Matchs!L51:L56=W32)*(Matchs!M51:M56&lt;Matchs!N51:N56)*ISNUMBER(Matchs!M51:M56)*ISNUMBER(Matchs!N51:N56))+SUMPRODUCT((Matchs!O51:O56=W32)*(Matchs!N51:N56&lt;Matchs!M51:M56)*ISNUMBER(Matchs!M51:M56)*ISNUMBER(Matchs!N51:N56))</f>
        <v>0</v>
      </c>
      <c r="AB32" s="6">
        <f>SUMIF(Matchs!L51:L56,W32,Matchs!M51:M56)+SUMIF(Matchs!O51:O56,W32,Matchs!N51:N56)</f>
        <v>0</v>
      </c>
      <c r="AC32" s="6">
        <f>SUMIF(Matchs!L51:L56,W32,Matchs!N51:N56)+SUMIF(Matchs!O51:O56,W32,Matchs!M51:M56)</f>
        <v>0</v>
      </c>
      <c r="AD32" s="6">
        <f>AB32-AC32</f>
        <v>0</v>
      </c>
      <c r="AE32" s="12">
        <f>3*Y32+Z32</f>
        <v>0</v>
      </c>
      <c r="AF32" s="13">
        <f>SUMPRODUCT(--(Aux!L2:L5&gt;Aux!L5))+1</f>
        <v>4</v>
      </c>
    </row>
    <row r="36" spans="1:7" ht="15.75" customHeight="1" x14ac:dyDescent="0.3">
      <c r="A36" s="14" t="s">
        <v>125</v>
      </c>
    </row>
    <row r="37" spans="1:7" ht="15" customHeight="1" x14ac:dyDescent="0.3">
      <c r="A37" s="5" t="s">
        <v>126</v>
      </c>
      <c r="B37" s="5" t="s">
        <v>127</v>
      </c>
      <c r="C37" s="5" t="s">
        <v>75</v>
      </c>
      <c r="D37" s="5" t="s">
        <v>74</v>
      </c>
      <c r="E37" s="5" t="s">
        <v>72</v>
      </c>
      <c r="F37" s="5" t="s">
        <v>128</v>
      </c>
      <c r="G37" s="5" t="s">
        <v>129</v>
      </c>
    </row>
    <row r="38" spans="1:7" ht="15" customHeight="1" x14ac:dyDescent="0.3">
      <c r="A38" s="12" t="s">
        <v>130</v>
      </c>
      <c r="B38" s="15" t="str">
        <f>IFERROR(INDEX(gA_names,MATCH(3,gA_clt,0)),"")</f>
        <v>Corée du Sud</v>
      </c>
      <c r="C38" s="6">
        <f>INDEX(gA_pts,MATCH(3,gA_clt,0))</f>
        <v>0</v>
      </c>
      <c r="D38" s="6">
        <f>INDEX(gA_db,MATCH(3,gA_clt,0))</f>
        <v>0</v>
      </c>
      <c r="E38" s="6">
        <f>INDEX(gA_bp,MATCH(3,gA_clt,0))</f>
        <v>0</v>
      </c>
      <c r="F38" s="6">
        <f>SUMPRODUCT(--(Aux!O2:O13&gt;Aux!O2))+1</f>
        <v>1</v>
      </c>
      <c r="G38" s="16" t="str">
        <f t="shared" ref="G38:G49" si="0">IF(F38&lt;=8,"OUI","")</f>
        <v>OUI</v>
      </c>
    </row>
    <row r="39" spans="1:7" ht="15" customHeight="1" x14ac:dyDescent="0.3">
      <c r="A39" s="12" t="s">
        <v>131</v>
      </c>
      <c r="B39" s="15" t="str">
        <f>IFERROR(INDEX(gB_names,MATCH(3,gB_clt,0)),"")</f>
        <v>Qatar</v>
      </c>
      <c r="C39" s="6">
        <f>INDEX(gB_pts,MATCH(3,gB_clt,0))</f>
        <v>0</v>
      </c>
      <c r="D39" s="6">
        <f>INDEX(gB_db,MATCH(3,gB_clt,0))</f>
        <v>0</v>
      </c>
      <c r="E39" s="6">
        <f>INDEX(gB_bp,MATCH(3,gB_clt,0))</f>
        <v>0</v>
      </c>
      <c r="F39" s="6">
        <f>SUMPRODUCT(--(Aux!O2:O13&gt;Aux!O3))+1</f>
        <v>2</v>
      </c>
      <c r="G39" s="16" t="str">
        <f t="shared" si="0"/>
        <v>OUI</v>
      </c>
    </row>
    <row r="40" spans="1:7" ht="15" customHeight="1" x14ac:dyDescent="0.3">
      <c r="A40" s="12" t="s">
        <v>132</v>
      </c>
      <c r="B40" s="15" t="str">
        <f>IFERROR(INDEX(gC_names,MATCH(3,gC_clt,0)),"")</f>
        <v>Écosse</v>
      </c>
      <c r="C40" s="6">
        <f>INDEX(gC_pts,MATCH(3,gC_clt,0))</f>
        <v>0</v>
      </c>
      <c r="D40" s="6">
        <f>INDEX(gC_db,MATCH(3,gC_clt,0))</f>
        <v>0</v>
      </c>
      <c r="E40" s="6">
        <f>INDEX(gC_bp,MATCH(3,gC_clt,0))</f>
        <v>0</v>
      </c>
      <c r="F40" s="6">
        <f>SUMPRODUCT(--(Aux!O2:O13&gt;Aux!O4))+1</f>
        <v>3</v>
      </c>
      <c r="G40" s="16" t="str">
        <f t="shared" si="0"/>
        <v>OUI</v>
      </c>
    </row>
    <row r="41" spans="1:7" ht="15" customHeight="1" x14ac:dyDescent="0.3">
      <c r="A41" s="12" t="s">
        <v>133</v>
      </c>
      <c r="B41" s="15" t="str">
        <f>IFERROR(INDEX(gD_names,MATCH(3,gD_clt,0)),"")</f>
        <v>Australie</v>
      </c>
      <c r="C41" s="6">
        <f>INDEX(gD_pts,MATCH(3,gD_clt,0))</f>
        <v>0</v>
      </c>
      <c r="D41" s="6">
        <f>INDEX(gD_db,MATCH(3,gD_clt,0))</f>
        <v>0</v>
      </c>
      <c r="E41" s="6">
        <f>INDEX(gD_bp,MATCH(3,gD_clt,0))</f>
        <v>0</v>
      </c>
      <c r="F41" s="6">
        <f>SUMPRODUCT(--(Aux!O2:O13&gt;Aux!O5))+1</f>
        <v>4</v>
      </c>
      <c r="G41" s="16" t="str">
        <f t="shared" si="0"/>
        <v>OUI</v>
      </c>
    </row>
    <row r="42" spans="1:7" ht="15" customHeight="1" x14ac:dyDescent="0.3">
      <c r="A42" s="12" t="s">
        <v>134</v>
      </c>
      <c r="B42" s="15" t="str">
        <f>IFERROR(INDEX(gE_names,MATCH(3,gE_clt,0)),"")</f>
        <v>Côte d'Ivoire</v>
      </c>
      <c r="C42" s="6">
        <f>INDEX(gE_pts,MATCH(3,gE_clt,0))</f>
        <v>0</v>
      </c>
      <c r="D42" s="6">
        <f>INDEX(gE_db,MATCH(3,gE_clt,0))</f>
        <v>0</v>
      </c>
      <c r="E42" s="6">
        <f>INDEX(gE_bp,MATCH(3,gE_clt,0))</f>
        <v>0</v>
      </c>
      <c r="F42" s="6">
        <f>SUMPRODUCT(--(Aux!O2:O13&gt;Aux!O6))+1</f>
        <v>5</v>
      </c>
      <c r="G42" s="16" t="str">
        <f t="shared" si="0"/>
        <v>OUI</v>
      </c>
    </row>
    <row r="43" spans="1:7" ht="15" customHeight="1" x14ac:dyDescent="0.3">
      <c r="A43" s="12" t="s">
        <v>135</v>
      </c>
      <c r="B43" s="15" t="str">
        <f>IFERROR(INDEX(gF_names,MATCH(3,gF_clt,0)),"")</f>
        <v>Suède</v>
      </c>
      <c r="C43" s="6">
        <f>INDEX(gF_pts,MATCH(3,gF_clt,0))</f>
        <v>0</v>
      </c>
      <c r="D43" s="6">
        <f>INDEX(gF_db,MATCH(3,gF_clt,0))</f>
        <v>0</v>
      </c>
      <c r="E43" s="6">
        <f>INDEX(gF_bp,MATCH(3,gF_clt,0))</f>
        <v>0</v>
      </c>
      <c r="F43" s="6">
        <f>SUMPRODUCT(--(Aux!O2:O13&gt;Aux!O7))+1</f>
        <v>6</v>
      </c>
      <c r="G43" s="16" t="str">
        <f t="shared" si="0"/>
        <v>OUI</v>
      </c>
    </row>
    <row r="44" spans="1:7" ht="15" customHeight="1" x14ac:dyDescent="0.3">
      <c r="A44" s="12" t="s">
        <v>69</v>
      </c>
      <c r="B44" s="15" t="str">
        <f>IFERROR(INDEX(gG_names,MATCH(3,gG_clt,0)),"")</f>
        <v>Iran</v>
      </c>
      <c r="C44" s="6">
        <f>INDEX(gG_pts,MATCH(3,gG_clt,0))</f>
        <v>0</v>
      </c>
      <c r="D44" s="6">
        <f>INDEX(gG_db,MATCH(3,gG_clt,0))</f>
        <v>0</v>
      </c>
      <c r="E44" s="6">
        <f>INDEX(gG_bp,MATCH(3,gG_clt,0))</f>
        <v>0</v>
      </c>
      <c r="F44" s="6">
        <f>SUMPRODUCT(--(Aux!O2:O13&gt;Aux!O8))+1</f>
        <v>7</v>
      </c>
      <c r="G44" s="16" t="str">
        <f t="shared" si="0"/>
        <v>OUI</v>
      </c>
    </row>
    <row r="45" spans="1:7" ht="15" customHeight="1" x14ac:dyDescent="0.3">
      <c r="A45" s="12" t="s">
        <v>136</v>
      </c>
      <c r="B45" s="15" t="str">
        <f>IFERROR(INDEX(gH_names,MATCH(3,gH_clt,0)),"")</f>
        <v>Arabie saoudite</v>
      </c>
      <c r="C45" s="6">
        <f>INDEX(gH_pts,MATCH(3,gH_clt,0))</f>
        <v>0</v>
      </c>
      <c r="D45" s="6">
        <f>INDEX(gH_db,MATCH(3,gH_clt,0))</f>
        <v>0</v>
      </c>
      <c r="E45" s="6">
        <f>INDEX(gH_bp,MATCH(3,gH_clt,0))</f>
        <v>0</v>
      </c>
      <c r="F45" s="6">
        <f>SUMPRODUCT(--(Aux!O2:O13&gt;Aux!O9))+1</f>
        <v>8</v>
      </c>
      <c r="G45" s="16" t="str">
        <f t="shared" si="0"/>
        <v>OUI</v>
      </c>
    </row>
    <row r="46" spans="1:7" ht="15" customHeight="1" x14ac:dyDescent="0.3">
      <c r="A46" s="12" t="s">
        <v>137</v>
      </c>
      <c r="B46" s="15" t="str">
        <f>IFERROR(INDEX(gI_names,MATCH(3,gI_clt,0)),"")</f>
        <v>Norvège</v>
      </c>
      <c r="C46" s="6">
        <f>INDEX(gI_pts,MATCH(3,gI_clt,0))</f>
        <v>0</v>
      </c>
      <c r="D46" s="6">
        <f>INDEX(gI_db,MATCH(3,gI_clt,0))</f>
        <v>0</v>
      </c>
      <c r="E46" s="6">
        <f>INDEX(gI_bp,MATCH(3,gI_clt,0))</f>
        <v>0</v>
      </c>
      <c r="F46" s="6">
        <f>SUMPRODUCT(--(Aux!O2:O13&gt;Aux!O10))+1</f>
        <v>9</v>
      </c>
      <c r="G46" s="16" t="str">
        <f t="shared" si="0"/>
        <v/>
      </c>
    </row>
    <row r="47" spans="1:7" ht="15" customHeight="1" x14ac:dyDescent="0.3">
      <c r="A47" s="12" t="s">
        <v>68</v>
      </c>
      <c r="B47" s="15" t="str">
        <f>IFERROR(INDEX(gJ_names,MATCH(3,gJ_clt,0)),"")</f>
        <v>Algérie</v>
      </c>
      <c r="C47" s="6">
        <f>INDEX(gJ_pts,MATCH(3,gJ_clt,0))</f>
        <v>0</v>
      </c>
      <c r="D47" s="6">
        <f>INDEX(gJ_db,MATCH(3,gJ_clt,0))</f>
        <v>0</v>
      </c>
      <c r="E47" s="6">
        <f>INDEX(gJ_bp,MATCH(3,gJ_clt,0))</f>
        <v>0</v>
      </c>
      <c r="F47" s="6">
        <f>SUMPRODUCT(--(Aux!O2:O13&gt;Aux!O11))+1</f>
        <v>10</v>
      </c>
      <c r="G47" s="16" t="str">
        <f t="shared" si="0"/>
        <v/>
      </c>
    </row>
    <row r="48" spans="1:7" ht="15" customHeight="1" x14ac:dyDescent="0.3">
      <c r="A48" s="12" t="s">
        <v>138</v>
      </c>
      <c r="B48" s="15" t="str">
        <f>IFERROR(INDEX(gK_names,MATCH(3,gK_clt,0)),"")</f>
        <v>Ouzbékistan</v>
      </c>
      <c r="C48" s="6">
        <f>INDEX(gK_pts,MATCH(3,gK_clt,0))</f>
        <v>0</v>
      </c>
      <c r="D48" s="6">
        <f>INDEX(gK_db,MATCH(3,gK_clt,0))</f>
        <v>0</v>
      </c>
      <c r="E48" s="6">
        <f>INDEX(gK_bp,MATCH(3,gK_clt,0))</f>
        <v>0</v>
      </c>
      <c r="F48" s="6">
        <f>SUMPRODUCT(--(Aux!O2:O13&gt;Aux!O12))+1</f>
        <v>11</v>
      </c>
      <c r="G48" s="16" t="str">
        <f t="shared" si="0"/>
        <v/>
      </c>
    </row>
    <row r="49" spans="1:7" ht="15" customHeight="1" x14ac:dyDescent="0.3">
      <c r="A49" s="12" t="s">
        <v>139</v>
      </c>
      <c r="B49" s="15" t="str">
        <f>IFERROR(INDEX(gL_names,MATCH(3,gL_clt,0)),"")</f>
        <v>Ghana</v>
      </c>
      <c r="C49" s="6">
        <f>INDEX(gL_pts,MATCH(3,gL_clt,0))</f>
        <v>0</v>
      </c>
      <c r="D49" s="6">
        <f>INDEX(gL_db,MATCH(3,gL_clt,0))</f>
        <v>0</v>
      </c>
      <c r="E49" s="6">
        <f>INDEX(gL_bp,MATCH(3,gL_clt,0))</f>
        <v>0</v>
      </c>
      <c r="F49" s="6">
        <f>SUMPRODUCT(--(Aux!O2:O13&gt;Aux!O13))+1</f>
        <v>12</v>
      </c>
      <c r="G49" s="16" t="str">
        <f t="shared" si="0"/>
        <v/>
      </c>
    </row>
  </sheetData>
  <sheetProtection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4"/>
  <sheetViews>
    <sheetView showGridLines="0" topLeftCell="A15" zoomScaleNormal="100" workbookViewId="0">
      <selection activeCell="C6" sqref="C6"/>
    </sheetView>
  </sheetViews>
  <sheetFormatPr baseColWidth="10" defaultColWidth="8.6640625" defaultRowHeight="14.4" x14ac:dyDescent="0.3"/>
  <cols>
    <col min="1" max="1" width="10" customWidth="1"/>
    <col min="2" max="2" width="18" customWidth="1"/>
    <col min="3" max="3" width="5.5546875" bestFit="1" customWidth="1"/>
    <col min="4" max="4" width="11.6640625" bestFit="1" customWidth="1"/>
    <col min="5" max="5" width="10" customWidth="1"/>
    <col min="6" max="6" width="18" customWidth="1"/>
    <col min="7" max="7" width="5" customWidth="1"/>
    <col min="8" max="8" width="5.33203125" bestFit="1" customWidth="1"/>
    <col min="9" max="9" width="11.88671875" bestFit="1" customWidth="1"/>
    <col min="10" max="10" width="18" customWidth="1"/>
    <col min="11" max="12" width="4" customWidth="1"/>
    <col min="13" max="13" width="10" customWidth="1"/>
    <col min="14" max="14" width="18" customWidth="1"/>
    <col min="15" max="16" width="4" customWidth="1"/>
    <col min="17" max="17" width="10" customWidth="1"/>
    <col min="18" max="18" width="18" customWidth="1"/>
    <col min="19" max="20" width="4" customWidth="1"/>
    <col min="21" max="21" width="10" customWidth="1"/>
    <col min="22" max="22" width="18" customWidth="1"/>
    <col min="23" max="24" width="4" customWidth="1"/>
    <col min="25" max="25" width="10" customWidth="1"/>
    <col min="26" max="26" width="18" customWidth="1"/>
    <col min="27" max="28" width="4" customWidth="1"/>
    <col min="29" max="29" width="10" customWidth="1"/>
    <col min="30" max="30" width="18" customWidth="1"/>
    <col min="31" max="32" width="4" customWidth="1"/>
    <col min="33" max="33" width="10" customWidth="1"/>
    <col min="34" max="34" width="18" customWidth="1"/>
    <col min="35" max="36" width="4" customWidth="1"/>
  </cols>
  <sheetData>
    <row r="1" spans="1:34" ht="19.5" customHeight="1" x14ac:dyDescent="0.35">
      <c r="A1" s="1" t="s">
        <v>297</v>
      </c>
    </row>
    <row r="2" spans="1:34" ht="15" customHeight="1" x14ac:dyDescent="0.3">
      <c r="A2" s="2" t="s">
        <v>140</v>
      </c>
    </row>
    <row r="4" spans="1:34" ht="15" customHeight="1" x14ac:dyDescent="0.3">
      <c r="A4" s="17" t="s">
        <v>141</v>
      </c>
      <c r="G4" s="17" t="s">
        <v>142</v>
      </c>
    </row>
    <row r="5" spans="1:34" ht="15" customHeight="1" x14ac:dyDescent="0.3">
      <c r="A5" s="5" t="s">
        <v>143</v>
      </c>
      <c r="B5" s="5" t="s">
        <v>144</v>
      </c>
      <c r="C5" s="5" t="s">
        <v>145</v>
      </c>
      <c r="D5" s="5" t="s">
        <v>146</v>
      </c>
      <c r="E5" s="5" t="s">
        <v>147</v>
      </c>
      <c r="G5" s="5" t="s">
        <v>128</v>
      </c>
      <c r="H5" s="5" t="s">
        <v>126</v>
      </c>
      <c r="I5" s="5" t="s">
        <v>67</v>
      </c>
    </row>
    <row r="6" spans="1:34" ht="15" customHeight="1" x14ac:dyDescent="0.3">
      <c r="A6" s="18" t="s">
        <v>148</v>
      </c>
      <c r="B6" s="6" t="s">
        <v>149</v>
      </c>
      <c r="C6" s="19"/>
      <c r="D6" s="15" t="str">
        <f t="shared" ref="D6:D13" si="0">IFERROR(INDEX(third_teams,MATCH(C6,third_letters,0)),"À attribuer")</f>
        <v>À attribuer</v>
      </c>
      <c r="E6" s="6" t="str">
        <f t="shared" ref="E6:E13" si="1">IF(C6="","—",IFERROR(IF(INDEX(third_rank,MATCH(C6,third_letters,0))&gt;8,"hors top 8",IF(COUNTIF($C$6:$C$13,C6)&gt;1,"doublon","OK")),"?"))</f>
        <v>—</v>
      </c>
      <c r="G6" s="20">
        <v>1</v>
      </c>
      <c r="H6" s="20" t="str">
        <f>IFERROR(INDEX(third_letters,MATCH(1,third_rank,0)),"")</f>
        <v>A</v>
      </c>
      <c r="I6" s="21" t="str">
        <f>IFERROR(INDEX(third_teams,MATCH(1,third_rank,0)),"")</f>
        <v>Corée du Sud</v>
      </c>
    </row>
    <row r="7" spans="1:34" ht="15" customHeight="1" x14ac:dyDescent="0.3">
      <c r="A7" s="18" t="s">
        <v>150</v>
      </c>
      <c r="B7" s="6" t="s">
        <v>151</v>
      </c>
      <c r="C7" s="19"/>
      <c r="D7" s="15" t="str">
        <f t="shared" si="0"/>
        <v>À attribuer</v>
      </c>
      <c r="E7" s="6" t="str">
        <f t="shared" si="1"/>
        <v>—</v>
      </c>
      <c r="G7" s="20">
        <v>2</v>
      </c>
      <c r="H7" s="20" t="str">
        <f>IFERROR(INDEX(third_letters,MATCH(2,third_rank,0)),"")</f>
        <v>B</v>
      </c>
      <c r="I7" s="21" t="str">
        <f>IFERROR(INDEX(third_teams,MATCH(2,third_rank,0)),"")</f>
        <v>Qatar</v>
      </c>
    </row>
    <row r="8" spans="1:34" ht="15" customHeight="1" x14ac:dyDescent="0.3">
      <c r="A8" s="18" t="s">
        <v>152</v>
      </c>
      <c r="B8" s="6" t="s">
        <v>153</v>
      </c>
      <c r="C8" s="19"/>
      <c r="D8" s="15" t="str">
        <f t="shared" si="0"/>
        <v>À attribuer</v>
      </c>
      <c r="E8" s="6" t="str">
        <f t="shared" si="1"/>
        <v>—</v>
      </c>
      <c r="G8" s="20">
        <v>3</v>
      </c>
      <c r="H8" s="20" t="str">
        <f>IFERROR(INDEX(third_letters,MATCH(3,third_rank,0)),"")</f>
        <v>C</v>
      </c>
      <c r="I8" s="21" t="str">
        <f>IFERROR(INDEX(third_teams,MATCH(3,third_rank,0)),"")</f>
        <v>Écosse</v>
      </c>
    </row>
    <row r="9" spans="1:34" ht="15" customHeight="1" x14ac:dyDescent="0.3">
      <c r="A9" s="18" t="s">
        <v>154</v>
      </c>
      <c r="B9" s="6" t="s">
        <v>155</v>
      </c>
      <c r="C9" s="19"/>
      <c r="D9" s="15" t="str">
        <f t="shared" si="0"/>
        <v>À attribuer</v>
      </c>
      <c r="E9" s="6" t="str">
        <f t="shared" si="1"/>
        <v>—</v>
      </c>
      <c r="G9" s="20">
        <v>4</v>
      </c>
      <c r="H9" s="20" t="str">
        <f>IFERROR(INDEX(third_letters,MATCH(4,third_rank,0)),"")</f>
        <v>D</v>
      </c>
      <c r="I9" s="21" t="str">
        <f>IFERROR(INDEX(third_teams,MATCH(4,third_rank,0)),"")</f>
        <v>Australie</v>
      </c>
    </row>
    <row r="10" spans="1:34" ht="15" customHeight="1" x14ac:dyDescent="0.3">
      <c r="A10" s="18" t="s">
        <v>156</v>
      </c>
      <c r="B10" s="6" t="s">
        <v>157</v>
      </c>
      <c r="C10" s="19"/>
      <c r="D10" s="15" t="str">
        <f t="shared" si="0"/>
        <v>À attribuer</v>
      </c>
      <c r="E10" s="6" t="str">
        <f t="shared" si="1"/>
        <v>—</v>
      </c>
      <c r="G10" s="20">
        <v>5</v>
      </c>
      <c r="H10" s="20" t="str">
        <f>IFERROR(INDEX(third_letters,MATCH(5,third_rank,0)),"")</f>
        <v>E</v>
      </c>
      <c r="I10" s="21" t="str">
        <f>IFERROR(INDEX(third_teams,MATCH(5,third_rank,0)),"")</f>
        <v>Côte d'Ivoire</v>
      </c>
    </row>
    <row r="11" spans="1:34" ht="15" customHeight="1" x14ac:dyDescent="0.3">
      <c r="A11" s="18" t="s">
        <v>158</v>
      </c>
      <c r="B11" s="6" t="s">
        <v>159</v>
      </c>
      <c r="C11" s="19"/>
      <c r="D11" s="15" t="str">
        <f t="shared" si="0"/>
        <v>À attribuer</v>
      </c>
      <c r="E11" s="6" t="str">
        <f t="shared" si="1"/>
        <v>—</v>
      </c>
      <c r="G11" s="20">
        <v>6</v>
      </c>
      <c r="H11" s="20" t="str">
        <f>IFERROR(INDEX(third_letters,MATCH(6,third_rank,0)),"")</f>
        <v>F</v>
      </c>
      <c r="I11" s="21" t="str">
        <f>IFERROR(INDEX(third_teams,MATCH(6,third_rank,0)),"")</f>
        <v>Suède</v>
      </c>
    </row>
    <row r="12" spans="1:34" ht="15" customHeight="1" x14ac:dyDescent="0.3">
      <c r="A12" s="18" t="s">
        <v>160</v>
      </c>
      <c r="B12" s="6" t="s">
        <v>161</v>
      </c>
      <c r="C12" s="19"/>
      <c r="D12" s="15" t="str">
        <f t="shared" si="0"/>
        <v>À attribuer</v>
      </c>
      <c r="E12" s="6" t="str">
        <f t="shared" si="1"/>
        <v>—</v>
      </c>
      <c r="G12" s="20">
        <v>7</v>
      </c>
      <c r="H12" s="20" t="str">
        <f>IFERROR(INDEX(third_letters,MATCH(7,third_rank,0)),"")</f>
        <v>G</v>
      </c>
      <c r="I12" s="21" t="str">
        <f>IFERROR(INDEX(third_teams,MATCH(7,third_rank,0)),"")</f>
        <v>Iran</v>
      </c>
    </row>
    <row r="13" spans="1:34" ht="15" customHeight="1" x14ac:dyDescent="0.3">
      <c r="A13" s="18" t="s">
        <v>162</v>
      </c>
      <c r="B13" s="6" t="s">
        <v>163</v>
      </c>
      <c r="C13" s="19"/>
      <c r="D13" s="15" t="str">
        <f t="shared" si="0"/>
        <v>À attribuer</v>
      </c>
      <c r="E13" s="6" t="str">
        <f t="shared" si="1"/>
        <v>—</v>
      </c>
      <c r="G13" s="20">
        <v>8</v>
      </c>
      <c r="H13" s="20" t="str">
        <f>IFERROR(INDEX(third_letters,MATCH(8,third_rank,0)),"")</f>
        <v>H</v>
      </c>
      <c r="I13" s="21" t="str">
        <f>IFERROR(INDEX(third_teams,MATCH(8,third_rank,0)),"")</f>
        <v>Arabie saoudite</v>
      </c>
    </row>
    <row r="14" spans="1:34" ht="15" customHeight="1" x14ac:dyDescent="0.3">
      <c r="G14" s="22"/>
      <c r="H14" s="22"/>
      <c r="I14" s="23"/>
    </row>
    <row r="15" spans="1:34" ht="15" customHeight="1" x14ac:dyDescent="0.3">
      <c r="G15" s="22"/>
      <c r="H15" s="22"/>
      <c r="I15" s="23"/>
    </row>
    <row r="16" spans="1:34" ht="15" customHeight="1" x14ac:dyDescent="0.3">
      <c r="B16" s="24" t="s">
        <v>164</v>
      </c>
      <c r="F16" s="24" t="s">
        <v>165</v>
      </c>
      <c r="G16" s="22"/>
      <c r="H16" s="22"/>
      <c r="I16" s="23"/>
      <c r="J16" s="24" t="s">
        <v>166</v>
      </c>
      <c r="N16" s="24" t="s">
        <v>167</v>
      </c>
      <c r="R16" s="24" t="s">
        <v>168</v>
      </c>
      <c r="V16" s="24" t="s">
        <v>167</v>
      </c>
      <c r="Z16" s="24" t="s">
        <v>166</v>
      </c>
      <c r="AD16" s="24" t="s">
        <v>165</v>
      </c>
      <c r="AH16" s="24" t="s">
        <v>164</v>
      </c>
    </row>
    <row r="17" spans="1:36" ht="15" customHeight="1" x14ac:dyDescent="0.3">
      <c r="G17" s="22"/>
      <c r="H17" s="22"/>
      <c r="I17" s="23"/>
    </row>
    <row r="18" spans="1:36" ht="15" customHeight="1" x14ac:dyDescent="0.3">
      <c r="A18" s="25" t="s">
        <v>169</v>
      </c>
      <c r="B18" s="26" t="str">
        <f>IFERROR(INDEX(gE_names,MATCH(1,gE_clt,0)),"")</f>
        <v>Allemagne</v>
      </c>
      <c r="C18" s="19"/>
      <c r="D18" s="27"/>
      <c r="AG18" s="25" t="s">
        <v>170</v>
      </c>
      <c r="AH18" s="26" t="str">
        <f>IFERROR(INDEX(gC_names,MATCH(1,gC_clt,0)),"")</f>
        <v>Brésil</v>
      </c>
      <c r="AI18" s="19"/>
      <c r="AJ18" s="27"/>
    </row>
    <row r="19" spans="1:36" ht="15" customHeight="1" x14ac:dyDescent="0.3">
      <c r="A19" s="25" t="s">
        <v>148</v>
      </c>
      <c r="B19" s="26" t="str">
        <f>$D$6</f>
        <v>À attribuer</v>
      </c>
      <c r="C19" s="19"/>
      <c r="D19" s="27"/>
      <c r="AG19" s="25" t="s">
        <v>171</v>
      </c>
      <c r="AH19" s="26" t="str">
        <f>IFERROR(INDEX(gF_names,MATCH(2,gF_clt,0)),"")</f>
        <v>Tunisie</v>
      </c>
      <c r="AI19" s="19"/>
      <c r="AJ19" s="27"/>
    </row>
    <row r="20" spans="1:36" ht="15" customHeight="1" x14ac:dyDescent="0.3">
      <c r="B20" s="28" t="s">
        <v>172</v>
      </c>
      <c r="E20" s="25" t="s">
        <v>173</v>
      </c>
      <c r="F20" s="26" t="str">
        <f>Calc!B4</f>
        <v/>
      </c>
      <c r="G20" s="19"/>
      <c r="H20" s="27"/>
      <c r="AC20" s="25" t="s">
        <v>174</v>
      </c>
      <c r="AD20" s="26" t="str">
        <f>Calc!B6</f>
        <v/>
      </c>
      <c r="AE20" s="19"/>
      <c r="AF20" s="27"/>
      <c r="AH20" s="28" t="s">
        <v>175</v>
      </c>
    </row>
    <row r="21" spans="1:36" ht="15" customHeight="1" x14ac:dyDescent="0.3">
      <c r="E21" s="25" t="s">
        <v>176</v>
      </c>
      <c r="F21" s="26" t="str">
        <f>Calc!B7</f>
        <v/>
      </c>
      <c r="G21" s="19"/>
      <c r="H21" s="27"/>
      <c r="AC21" s="25" t="s">
        <v>177</v>
      </c>
      <c r="AD21" s="26" t="str">
        <f>Calc!B8</f>
        <v/>
      </c>
      <c r="AE21" s="19"/>
      <c r="AF21" s="27"/>
    </row>
    <row r="22" spans="1:36" ht="15" customHeight="1" x14ac:dyDescent="0.3">
      <c r="A22" s="25" t="s">
        <v>178</v>
      </c>
      <c r="B22" s="26" t="str">
        <f>IFERROR(INDEX(gI_names,MATCH(1,gI_clt,0)),"")</f>
        <v>France</v>
      </c>
      <c r="C22" s="19"/>
      <c r="D22" s="27"/>
      <c r="F22" s="28" t="s">
        <v>179</v>
      </c>
      <c r="AD22" s="28" t="s">
        <v>180</v>
      </c>
      <c r="AG22" s="25" t="s">
        <v>181</v>
      </c>
      <c r="AH22" s="26" t="str">
        <f>IFERROR(INDEX(gE_names,MATCH(2,gE_clt,0)),"")</f>
        <v>Curaçao</v>
      </c>
      <c r="AI22" s="19"/>
      <c r="AJ22" s="27"/>
    </row>
    <row r="23" spans="1:36" ht="15" customHeight="1" x14ac:dyDescent="0.3">
      <c r="A23" s="25" t="s">
        <v>150</v>
      </c>
      <c r="B23" s="26" t="str">
        <f>$D$7</f>
        <v>À attribuer</v>
      </c>
      <c r="C23" s="19"/>
      <c r="D23" s="27"/>
      <c r="AG23" s="25" t="s">
        <v>182</v>
      </c>
      <c r="AH23" s="26" t="str">
        <f>IFERROR(INDEX(gI_names,MATCH(2,gI_clt,0)),"")</f>
        <v>Sénégal</v>
      </c>
      <c r="AI23" s="19"/>
      <c r="AJ23" s="27"/>
    </row>
    <row r="24" spans="1:36" ht="15" customHeight="1" x14ac:dyDescent="0.3">
      <c r="B24" s="28" t="s">
        <v>183</v>
      </c>
      <c r="I24" s="25" t="s">
        <v>184</v>
      </c>
      <c r="J24" s="26" t="str">
        <f>Calc!B19</f>
        <v/>
      </c>
      <c r="K24" s="19"/>
      <c r="L24" s="27"/>
      <c r="Y24" s="25" t="s">
        <v>185</v>
      </c>
      <c r="Z24" s="26" t="str">
        <f>Calc!B21</f>
        <v/>
      </c>
      <c r="AA24" s="19"/>
      <c r="AB24" s="27"/>
      <c r="AH24" s="28" t="s">
        <v>186</v>
      </c>
    </row>
    <row r="25" spans="1:36" ht="15" customHeight="1" x14ac:dyDescent="0.3">
      <c r="I25" s="25" t="s">
        <v>187</v>
      </c>
      <c r="J25" s="26" t="str">
        <f>Calc!B20</f>
        <v/>
      </c>
      <c r="K25" s="19"/>
      <c r="L25" s="27"/>
      <c r="Y25" s="25" t="s">
        <v>188</v>
      </c>
      <c r="Z25" s="26" t="str">
        <f>Calc!B22</f>
        <v/>
      </c>
      <c r="AA25" s="19"/>
      <c r="AB25" s="27"/>
    </row>
    <row r="26" spans="1:36" ht="15" customHeight="1" x14ac:dyDescent="0.3">
      <c r="A26" s="25" t="s">
        <v>189</v>
      </c>
      <c r="B26" s="26" t="str">
        <f>IFERROR(INDEX(gA_names,MATCH(2,gA_clt,0)),"")</f>
        <v>Afrique du Sud</v>
      </c>
      <c r="C26" s="19"/>
      <c r="D26" s="27"/>
      <c r="J26" s="28" t="s">
        <v>190</v>
      </c>
      <c r="Z26" s="28" t="s">
        <v>191</v>
      </c>
      <c r="AG26" s="25" t="s">
        <v>192</v>
      </c>
      <c r="AH26" s="26" t="str">
        <f>IFERROR(INDEX(gA_names,MATCH(1,gA_clt,0)),"")</f>
        <v>Mexique</v>
      </c>
      <c r="AI26" s="19"/>
      <c r="AJ26" s="27"/>
    </row>
    <row r="27" spans="1:36" ht="15" customHeight="1" x14ac:dyDescent="0.3">
      <c r="A27" s="25" t="s">
        <v>193</v>
      </c>
      <c r="B27" s="26" t="str">
        <f>IFERROR(INDEX(gB_names,MATCH(2,gB_clt,0)),"")</f>
        <v>Suisse</v>
      </c>
      <c r="C27" s="19"/>
      <c r="D27" s="27"/>
      <c r="AG27" s="25" t="s">
        <v>152</v>
      </c>
      <c r="AH27" s="26" t="str">
        <f>$D$8</f>
        <v>À attribuer</v>
      </c>
      <c r="AI27" s="19"/>
      <c r="AJ27" s="27"/>
    </row>
    <row r="28" spans="1:36" ht="15" customHeight="1" x14ac:dyDescent="0.3">
      <c r="B28" s="28" t="s">
        <v>194</v>
      </c>
      <c r="E28" s="25" t="s">
        <v>195</v>
      </c>
      <c r="F28" s="26" t="str">
        <f>Calc!B3</f>
        <v/>
      </c>
      <c r="G28" s="19"/>
      <c r="H28" s="27"/>
      <c r="AC28" s="25" t="s">
        <v>196</v>
      </c>
      <c r="AD28" s="26" t="str">
        <f>Calc!B9</f>
        <v/>
      </c>
      <c r="AE28" s="19"/>
      <c r="AF28" s="27"/>
      <c r="AH28" s="28" t="s">
        <v>197</v>
      </c>
    </row>
    <row r="29" spans="1:36" ht="15" customHeight="1" x14ac:dyDescent="0.3">
      <c r="E29" s="25" t="s">
        <v>198</v>
      </c>
      <c r="F29" s="26" t="str">
        <f>Calc!B5</f>
        <v/>
      </c>
      <c r="G29" s="19"/>
      <c r="H29" s="27"/>
      <c r="AC29" s="25" t="s">
        <v>199</v>
      </c>
      <c r="AD29" s="26" t="str">
        <f>Calc!B10</f>
        <v/>
      </c>
      <c r="AE29" s="19"/>
      <c r="AF29" s="27"/>
    </row>
    <row r="30" spans="1:36" ht="15" customHeight="1" x14ac:dyDescent="0.3">
      <c r="A30" s="25" t="s">
        <v>200</v>
      </c>
      <c r="B30" s="26" t="str">
        <f>IFERROR(INDEX(gF_names,MATCH(1,gF_clt,0)),"")</f>
        <v>Pays-Bas</v>
      </c>
      <c r="C30" s="19"/>
      <c r="D30" s="27"/>
      <c r="F30" s="28" t="s">
        <v>201</v>
      </c>
      <c r="AD30" s="28" t="s">
        <v>202</v>
      </c>
      <c r="AG30" s="25" t="s">
        <v>203</v>
      </c>
      <c r="AH30" s="26" t="str">
        <f>IFERROR(INDEX(gL_names,MATCH(1,gL_clt,0)),"")</f>
        <v>Angleterre</v>
      </c>
      <c r="AI30" s="19"/>
      <c r="AJ30" s="27"/>
    </row>
    <row r="31" spans="1:36" ht="15" customHeight="1" x14ac:dyDescent="0.3">
      <c r="A31" s="25" t="s">
        <v>204</v>
      </c>
      <c r="B31" s="26" t="str">
        <f>IFERROR(INDEX(gC_names,MATCH(2,gC_clt,0)),"")</f>
        <v>Maroc</v>
      </c>
      <c r="C31" s="19"/>
      <c r="D31" s="27"/>
      <c r="R31" s="29" t="s">
        <v>205</v>
      </c>
      <c r="AG31" s="25" t="s">
        <v>154</v>
      </c>
      <c r="AH31" s="26" t="str">
        <f>$D$9</f>
        <v>À attribuer</v>
      </c>
      <c r="AI31" s="19"/>
      <c r="AJ31" s="27"/>
    </row>
    <row r="32" spans="1:36" ht="15" customHeight="1" x14ac:dyDescent="0.3">
      <c r="B32" s="28" t="s">
        <v>206</v>
      </c>
      <c r="M32" s="25" t="s">
        <v>207</v>
      </c>
      <c r="N32" s="26" t="str">
        <f>Calc!B27</f>
        <v/>
      </c>
      <c r="O32" s="19"/>
      <c r="P32" s="27"/>
      <c r="Q32" s="25" t="s">
        <v>208</v>
      </c>
      <c r="R32" s="30" t="str">
        <f>Calc!B31</f>
        <v/>
      </c>
      <c r="S32" s="19"/>
      <c r="T32" s="27"/>
      <c r="U32" s="25" t="s">
        <v>209</v>
      </c>
      <c r="V32" s="26" t="str">
        <f>Calc!B29</f>
        <v/>
      </c>
      <c r="W32" s="19"/>
      <c r="X32" s="27"/>
      <c r="AH32" s="28" t="s">
        <v>210</v>
      </c>
    </row>
    <row r="33" spans="1:36" ht="15" customHeight="1" x14ac:dyDescent="0.3">
      <c r="M33" s="25" t="s">
        <v>211</v>
      </c>
      <c r="N33" s="26" t="str">
        <f>Calc!B28</f>
        <v/>
      </c>
      <c r="O33" s="19"/>
      <c r="P33" s="27"/>
      <c r="Q33" s="25" t="s">
        <v>212</v>
      </c>
      <c r="R33" s="30" t="str">
        <f>Calc!B32</f>
        <v/>
      </c>
      <c r="S33" s="19"/>
      <c r="T33" s="27"/>
      <c r="U33" s="25" t="s">
        <v>213</v>
      </c>
      <c r="V33" s="26" t="str">
        <f>Calc!B30</f>
        <v/>
      </c>
      <c r="W33" s="19"/>
      <c r="X33" s="27"/>
    </row>
    <row r="34" spans="1:36" ht="15" customHeight="1" x14ac:dyDescent="0.3">
      <c r="A34" s="25" t="s">
        <v>214</v>
      </c>
      <c r="B34" s="26" t="str">
        <f>IFERROR(INDEX(gK_names,MATCH(2,gK_clt,0)),"")</f>
        <v>Colombie</v>
      </c>
      <c r="C34" s="19"/>
      <c r="D34" s="27"/>
      <c r="N34" s="28" t="s">
        <v>215</v>
      </c>
      <c r="R34" s="28" t="s">
        <v>216</v>
      </c>
      <c r="V34" s="28" t="s">
        <v>217</v>
      </c>
      <c r="AG34" s="25" t="s">
        <v>218</v>
      </c>
      <c r="AH34" s="26" t="str">
        <f>IFERROR(INDEX(gJ_names,MATCH(1,gJ_clt,0)),"")</f>
        <v>Argentine</v>
      </c>
      <c r="AI34" s="19"/>
      <c r="AJ34" s="27"/>
    </row>
    <row r="35" spans="1:36" ht="15" customHeight="1" x14ac:dyDescent="0.3">
      <c r="A35" s="25" t="s">
        <v>219</v>
      </c>
      <c r="B35" s="26" t="str">
        <f>IFERROR(INDEX(gL_names,MATCH(2,gL_clt,0)),"")</f>
        <v>Croatie</v>
      </c>
      <c r="C35" s="19"/>
      <c r="D35" s="27"/>
      <c r="AG35" s="25" t="s">
        <v>220</v>
      </c>
      <c r="AH35" s="26" t="str">
        <f>IFERROR(INDEX(gH_names,MATCH(2,gH_clt,0)),"")</f>
        <v>Uruguay</v>
      </c>
      <c r="AI35" s="19"/>
      <c r="AJ35" s="27"/>
    </row>
    <row r="36" spans="1:36" ht="15" customHeight="1" x14ac:dyDescent="0.3">
      <c r="B36" s="28" t="s">
        <v>221</v>
      </c>
      <c r="E36" s="25" t="s">
        <v>222</v>
      </c>
      <c r="F36" s="26" t="str">
        <f>Calc!B13</f>
        <v/>
      </c>
      <c r="G36" s="19"/>
      <c r="H36" s="27"/>
      <c r="AC36" s="25" t="s">
        <v>223</v>
      </c>
      <c r="AD36" s="26" t="str">
        <f>Calc!B16</f>
        <v/>
      </c>
      <c r="AE36" s="19"/>
      <c r="AF36" s="27"/>
      <c r="AH36" s="28" t="s">
        <v>224</v>
      </c>
    </row>
    <row r="37" spans="1:36" ht="15" customHeight="1" x14ac:dyDescent="0.3">
      <c r="E37" s="25" t="s">
        <v>225</v>
      </c>
      <c r="F37" s="26" t="str">
        <f>Calc!B14</f>
        <v/>
      </c>
      <c r="G37" s="19"/>
      <c r="H37" s="27"/>
      <c r="AC37" s="25" t="s">
        <v>226</v>
      </c>
      <c r="AD37" s="26" t="str">
        <f>Calc!B18</f>
        <v/>
      </c>
      <c r="AE37" s="19"/>
      <c r="AF37" s="27"/>
    </row>
    <row r="38" spans="1:36" ht="15" customHeight="1" x14ac:dyDescent="0.3">
      <c r="A38" s="25" t="s">
        <v>227</v>
      </c>
      <c r="B38" s="26" t="str">
        <f>IFERROR(INDEX(gH_names,MATCH(1,gH_clt,0)),"")</f>
        <v>Espagne</v>
      </c>
      <c r="C38" s="19"/>
      <c r="D38" s="27"/>
      <c r="F38" s="28" t="s">
        <v>228</v>
      </c>
      <c r="AD38" s="28" t="s">
        <v>229</v>
      </c>
      <c r="AG38" s="25" t="s">
        <v>230</v>
      </c>
      <c r="AH38" s="26" t="str">
        <f>IFERROR(INDEX(gD_names,MATCH(2,gD_clt,0)),"")</f>
        <v>Paraguay</v>
      </c>
      <c r="AI38" s="19"/>
      <c r="AJ38" s="27"/>
    </row>
    <row r="39" spans="1:36" ht="15" customHeight="1" x14ac:dyDescent="0.3">
      <c r="A39" s="25" t="s">
        <v>231</v>
      </c>
      <c r="B39" s="26" t="str">
        <f>IFERROR(INDEX(gJ_names,MATCH(2,gJ_clt,0)),"")</f>
        <v>Autriche</v>
      </c>
      <c r="C39" s="19"/>
      <c r="D39" s="27"/>
      <c r="AG39" s="25" t="s">
        <v>232</v>
      </c>
      <c r="AH39" s="26" t="str">
        <f>IFERROR(INDEX(gG_names,MATCH(2,gG_clt,0)),"")</f>
        <v>Égypte</v>
      </c>
      <c r="AI39" s="19"/>
      <c r="AJ39" s="27"/>
    </row>
    <row r="40" spans="1:36" ht="15" customHeight="1" x14ac:dyDescent="0.3">
      <c r="B40" s="28" t="s">
        <v>233</v>
      </c>
      <c r="I40" s="25" t="s">
        <v>234</v>
      </c>
      <c r="J40" s="26" t="str">
        <f>Calc!B23</f>
        <v/>
      </c>
      <c r="K40" s="19"/>
      <c r="L40" s="27"/>
      <c r="Y40" s="25" t="s">
        <v>235</v>
      </c>
      <c r="Z40" s="26" t="str">
        <f>Calc!B25</f>
        <v/>
      </c>
      <c r="AA40" s="19"/>
      <c r="AB40" s="27"/>
      <c r="AH40" s="28" t="s">
        <v>236</v>
      </c>
    </row>
    <row r="41" spans="1:36" ht="15" customHeight="1" x14ac:dyDescent="0.3">
      <c r="I41" s="25" t="s">
        <v>237</v>
      </c>
      <c r="J41" s="26" t="str">
        <f>Calc!B24</f>
        <v/>
      </c>
      <c r="K41" s="19"/>
      <c r="L41" s="27"/>
      <c r="Y41" s="25" t="s">
        <v>238</v>
      </c>
      <c r="Z41" s="26" t="str">
        <f>Calc!B26</f>
        <v/>
      </c>
      <c r="AA41" s="19"/>
      <c r="AB41" s="27"/>
    </row>
    <row r="42" spans="1:36" ht="15" customHeight="1" x14ac:dyDescent="0.3">
      <c r="A42" s="25" t="s">
        <v>239</v>
      </c>
      <c r="B42" s="26" t="str">
        <f>IFERROR(INDEX(gD_names,MATCH(1,gD_clt,0)),"")</f>
        <v>États-Unis</v>
      </c>
      <c r="C42" s="19"/>
      <c r="D42" s="27"/>
      <c r="J42" s="28" t="s">
        <v>240</v>
      </c>
      <c r="Z42" s="28" t="s">
        <v>241</v>
      </c>
      <c r="AG42" s="25" t="s">
        <v>242</v>
      </c>
      <c r="AH42" s="26" t="str">
        <f>IFERROR(INDEX(gB_names,MATCH(1,gB_clt,0)),"")</f>
        <v>Canada</v>
      </c>
      <c r="AI42" s="19"/>
      <c r="AJ42" s="27"/>
    </row>
    <row r="43" spans="1:36" ht="15" customHeight="1" x14ac:dyDescent="0.3">
      <c r="A43" s="25" t="s">
        <v>156</v>
      </c>
      <c r="B43" s="26" t="str">
        <f>$D$10</f>
        <v>À attribuer</v>
      </c>
      <c r="C43" s="19"/>
      <c r="D43" s="27"/>
      <c r="AG43" s="25" t="s">
        <v>160</v>
      </c>
      <c r="AH43" s="26" t="str">
        <f>$D$12</f>
        <v>À attribuer</v>
      </c>
      <c r="AI43" s="19"/>
      <c r="AJ43" s="27"/>
    </row>
    <row r="44" spans="1:36" ht="15" customHeight="1" x14ac:dyDescent="0.3">
      <c r="B44" s="28" t="s">
        <v>243</v>
      </c>
      <c r="E44" s="25" t="s">
        <v>244</v>
      </c>
      <c r="F44" s="26" t="str">
        <f>Calc!B11</f>
        <v/>
      </c>
      <c r="G44" s="19"/>
      <c r="H44" s="27"/>
      <c r="AC44" s="25" t="s">
        <v>245</v>
      </c>
      <c r="AD44" s="26" t="str">
        <f>Calc!B15</f>
        <v/>
      </c>
      <c r="AE44" s="19"/>
      <c r="AF44" s="27"/>
      <c r="AH44" s="28" t="s">
        <v>246</v>
      </c>
    </row>
    <row r="45" spans="1:36" ht="15" customHeight="1" x14ac:dyDescent="0.3">
      <c r="E45" s="25" t="s">
        <v>247</v>
      </c>
      <c r="F45" s="26" t="str">
        <f>Calc!B12</f>
        <v/>
      </c>
      <c r="G45" s="19"/>
      <c r="H45" s="27"/>
      <c r="AC45" s="25" t="s">
        <v>248</v>
      </c>
      <c r="AD45" s="26" t="str">
        <f>Calc!B17</f>
        <v/>
      </c>
      <c r="AE45" s="19"/>
      <c r="AF45" s="27"/>
    </row>
    <row r="46" spans="1:36" ht="15" customHeight="1" x14ac:dyDescent="0.3">
      <c r="A46" s="25" t="s">
        <v>249</v>
      </c>
      <c r="B46" s="26" t="str">
        <f>IFERROR(INDEX(gG_names,MATCH(1,gG_clt,0)),"")</f>
        <v>Belgique</v>
      </c>
      <c r="C46" s="19"/>
      <c r="D46" s="27"/>
      <c r="F46" s="28" t="s">
        <v>250</v>
      </c>
      <c r="AD46" s="28" t="s">
        <v>251</v>
      </c>
      <c r="AG46" s="25" t="s">
        <v>252</v>
      </c>
      <c r="AH46" s="26" t="str">
        <f>IFERROR(INDEX(gK_names,MATCH(1,gK_clt,0)),"")</f>
        <v>Portugal</v>
      </c>
      <c r="AI46" s="19"/>
      <c r="AJ46" s="27"/>
    </row>
    <row r="47" spans="1:36" ht="15" customHeight="1" x14ac:dyDescent="0.3">
      <c r="A47" s="25" t="s">
        <v>158</v>
      </c>
      <c r="B47" s="26" t="str">
        <f>$D$11</f>
        <v>À attribuer</v>
      </c>
      <c r="C47" s="19"/>
      <c r="D47" s="27"/>
      <c r="AG47" s="25" t="s">
        <v>162</v>
      </c>
      <c r="AH47" s="26" t="str">
        <f>$D$13</f>
        <v>À attribuer</v>
      </c>
      <c r="AI47" s="19"/>
      <c r="AJ47" s="27"/>
    </row>
    <row r="48" spans="1:36" ht="15" customHeight="1" x14ac:dyDescent="0.3">
      <c r="B48" s="28" t="s">
        <v>253</v>
      </c>
      <c r="AH48" s="28" t="s">
        <v>254</v>
      </c>
    </row>
    <row r="51" spans="17:20" ht="15" customHeight="1" x14ac:dyDescent="0.3">
      <c r="R51" s="17" t="s">
        <v>255</v>
      </c>
    </row>
    <row r="52" spans="17:20" ht="15" customHeight="1" x14ac:dyDescent="0.3">
      <c r="Q52" s="25" t="s">
        <v>256</v>
      </c>
      <c r="R52" s="30" t="str">
        <f>Calc!C31</f>
        <v/>
      </c>
      <c r="S52" s="19"/>
      <c r="T52" s="27"/>
    </row>
    <row r="53" spans="17:20" ht="15" customHeight="1" x14ac:dyDescent="0.3">
      <c r="Q53" s="25" t="s">
        <v>257</v>
      </c>
      <c r="R53" s="30" t="str">
        <f>Calc!C32</f>
        <v/>
      </c>
      <c r="S53" s="19"/>
      <c r="T53" s="27"/>
    </row>
    <row r="54" spans="17:20" ht="15" customHeight="1" x14ac:dyDescent="0.3">
      <c r="R54" s="28" t="s">
        <v>258</v>
      </c>
    </row>
  </sheetData>
  <dataValidations count="8">
    <dataValidation type="list" allowBlank="1" sqref="C6" xr:uid="{00000000-0002-0000-0200-000000000000}">
      <formula1>"A,B,C,D,F"</formula1>
      <formula2>0</formula2>
    </dataValidation>
    <dataValidation type="list" allowBlank="1" sqref="C7" xr:uid="{00000000-0002-0000-0200-000001000000}">
      <formula1>"C,D,F,G,H"</formula1>
      <formula2>0</formula2>
    </dataValidation>
    <dataValidation type="list" allowBlank="1" sqref="C8" xr:uid="{00000000-0002-0000-0200-000002000000}">
      <formula1>"C,E,F,H,I"</formula1>
      <formula2>0</formula2>
    </dataValidation>
    <dataValidation type="list" allowBlank="1" sqref="C9" xr:uid="{00000000-0002-0000-0200-000003000000}">
      <formula1>"E,H,I,J,K"</formula1>
      <formula2>0</formula2>
    </dataValidation>
    <dataValidation type="list" allowBlank="1" sqref="C10" xr:uid="{00000000-0002-0000-0200-000004000000}">
      <formula1>"B,E,F,I,J"</formula1>
      <formula2>0</formula2>
    </dataValidation>
    <dataValidation type="list" allowBlank="1" sqref="C11" xr:uid="{00000000-0002-0000-0200-000005000000}">
      <formula1>"A,E,H,I,J"</formula1>
      <formula2>0</formula2>
    </dataValidation>
    <dataValidation type="list" allowBlank="1" sqref="C12" xr:uid="{00000000-0002-0000-0200-000006000000}">
      <formula1>"E,F,G,I,J"</formula1>
      <formula2>0</formula2>
    </dataValidation>
    <dataValidation type="list" allowBlank="1" sqref="C13" xr:uid="{00000000-0002-0000-0200-000007000000}">
      <formula1>"D,E,I,J,L"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"/>
  <sheetViews>
    <sheetView zoomScaleNormal="100" workbookViewId="0"/>
  </sheetViews>
  <sheetFormatPr baseColWidth="10" defaultColWidth="8.6640625" defaultRowHeight="14.4" x14ac:dyDescent="0.3"/>
  <sheetData>
    <row r="1" spans="1:15" ht="15" customHeight="1" x14ac:dyDescent="0.3">
      <c r="A1" s="31" t="s">
        <v>259</v>
      </c>
    </row>
    <row r="2" spans="1:15" ht="15" customHeight="1" x14ac:dyDescent="0.3">
      <c r="A2" s="32">
        <f>'Classement par poule'!I5*10000000+('Classement par poule'!H5+50)*10000+'Classement par poule'!F5*10+3</f>
        <v>500003</v>
      </c>
      <c r="B2" s="32">
        <f>'Classement par poule'!T5*10000000+('Classement par poule'!S5+50)*10000+'Classement par poule'!Q5*10+3</f>
        <v>500003</v>
      </c>
      <c r="C2" s="32">
        <f>'Classement par poule'!AE5*10000000+('Classement par poule'!AD5+50)*10000+'Classement par poule'!AB5*10+3</f>
        <v>500003</v>
      </c>
      <c r="D2" s="32">
        <f>'Classement par poule'!I13*10000000+('Classement par poule'!H13+50)*10000+'Classement par poule'!F13*10+3</f>
        <v>500003</v>
      </c>
      <c r="E2" s="32">
        <f>'Classement par poule'!T13*10000000+('Classement par poule'!S13+50)*10000+'Classement par poule'!Q13*10+3</f>
        <v>500003</v>
      </c>
      <c r="F2" s="32">
        <f>'Classement par poule'!AE13*10000000+('Classement par poule'!AD13+50)*10000+'Classement par poule'!AB13*10+3</f>
        <v>500003</v>
      </c>
      <c r="G2" s="32">
        <f>'Classement par poule'!I21*10000000+('Classement par poule'!H21+50)*10000+'Classement par poule'!F21*10+3</f>
        <v>500003</v>
      </c>
      <c r="H2" s="32">
        <f>'Classement par poule'!T21*10000000+('Classement par poule'!S21+50)*10000+'Classement par poule'!Q21*10+3</f>
        <v>500003</v>
      </c>
      <c r="I2" s="32">
        <f>'Classement par poule'!AE21*10000000+('Classement par poule'!AD21+50)*10000+'Classement par poule'!AB21*10+3</f>
        <v>500003</v>
      </c>
      <c r="J2" s="32">
        <f>'Classement par poule'!I29*10000000+('Classement par poule'!H29+50)*10000+'Classement par poule'!F29*10+3</f>
        <v>500003</v>
      </c>
      <c r="K2" s="32">
        <f>'Classement par poule'!T29*10000000+('Classement par poule'!S29+50)*10000+'Classement par poule'!Q29*10+3</f>
        <v>500003</v>
      </c>
      <c r="L2" s="32">
        <f>'Classement par poule'!AE29*10000000+('Classement par poule'!AD29+50)*10000+'Classement par poule'!AB29*10+3</f>
        <v>500003</v>
      </c>
      <c r="O2" s="32">
        <f>'Classement par poule'!C38*10000000+('Classement par poule'!D38+50)*10000+'Classement par poule'!E38*10+12</f>
        <v>500012</v>
      </c>
    </row>
    <row r="3" spans="1:15" ht="15" customHeight="1" x14ac:dyDescent="0.3">
      <c r="A3" s="32">
        <f>'Classement par poule'!I6*10000000+('Classement par poule'!H6+50)*10000+'Classement par poule'!F6*10+2</f>
        <v>500002</v>
      </c>
      <c r="B3" s="32">
        <f>'Classement par poule'!T6*10000000+('Classement par poule'!S6+50)*10000+'Classement par poule'!Q6*10+2</f>
        <v>500002</v>
      </c>
      <c r="C3" s="32">
        <f>'Classement par poule'!AE6*10000000+('Classement par poule'!AD6+50)*10000+'Classement par poule'!AB6*10+2</f>
        <v>500002</v>
      </c>
      <c r="D3" s="32">
        <f>'Classement par poule'!I14*10000000+('Classement par poule'!H14+50)*10000+'Classement par poule'!F14*10+2</f>
        <v>500002</v>
      </c>
      <c r="E3" s="32">
        <f>'Classement par poule'!T14*10000000+('Classement par poule'!S14+50)*10000+'Classement par poule'!Q14*10+2</f>
        <v>500002</v>
      </c>
      <c r="F3" s="32">
        <f>'Classement par poule'!AE14*10000000+('Classement par poule'!AD14+50)*10000+'Classement par poule'!AB14*10+2</f>
        <v>500002</v>
      </c>
      <c r="G3" s="32">
        <f>'Classement par poule'!I22*10000000+('Classement par poule'!H22+50)*10000+'Classement par poule'!F22*10+2</f>
        <v>500002</v>
      </c>
      <c r="H3" s="32">
        <f>'Classement par poule'!T22*10000000+('Classement par poule'!S22+50)*10000+'Classement par poule'!Q22*10+2</f>
        <v>500002</v>
      </c>
      <c r="I3" s="32">
        <f>'Classement par poule'!AE22*10000000+('Classement par poule'!AD22+50)*10000+'Classement par poule'!AB22*10+2</f>
        <v>500002</v>
      </c>
      <c r="J3" s="32">
        <f>'Classement par poule'!I30*10000000+('Classement par poule'!H30+50)*10000+'Classement par poule'!F30*10+2</f>
        <v>500002</v>
      </c>
      <c r="K3" s="32">
        <f>'Classement par poule'!T30*10000000+('Classement par poule'!S30+50)*10000+'Classement par poule'!Q30*10+2</f>
        <v>500002</v>
      </c>
      <c r="L3" s="32">
        <f>'Classement par poule'!AE30*10000000+('Classement par poule'!AD30+50)*10000+'Classement par poule'!AB30*10+2</f>
        <v>500002</v>
      </c>
      <c r="O3" s="32">
        <f>'Classement par poule'!C39*10000000+('Classement par poule'!D39+50)*10000+'Classement par poule'!E39*10+11</f>
        <v>500011</v>
      </c>
    </row>
    <row r="4" spans="1:15" ht="15" customHeight="1" x14ac:dyDescent="0.3">
      <c r="A4" s="32">
        <f>'Classement par poule'!I7*10000000+('Classement par poule'!H7+50)*10000+'Classement par poule'!F7*10+1</f>
        <v>500001</v>
      </c>
      <c r="B4" s="32">
        <f>'Classement par poule'!T7*10000000+('Classement par poule'!S7+50)*10000+'Classement par poule'!Q7*10+1</f>
        <v>500001</v>
      </c>
      <c r="C4" s="32">
        <f>'Classement par poule'!AE7*10000000+('Classement par poule'!AD7+50)*10000+'Classement par poule'!AB7*10+1</f>
        <v>500001</v>
      </c>
      <c r="D4" s="32">
        <f>'Classement par poule'!I15*10000000+('Classement par poule'!H15+50)*10000+'Classement par poule'!F15*10+1</f>
        <v>500001</v>
      </c>
      <c r="E4" s="32">
        <f>'Classement par poule'!T15*10000000+('Classement par poule'!S15+50)*10000+'Classement par poule'!Q15*10+1</f>
        <v>500001</v>
      </c>
      <c r="F4" s="32">
        <f>'Classement par poule'!AE15*10000000+('Classement par poule'!AD15+50)*10000+'Classement par poule'!AB15*10+1</f>
        <v>500001</v>
      </c>
      <c r="G4" s="32">
        <f>'Classement par poule'!I23*10000000+('Classement par poule'!H23+50)*10000+'Classement par poule'!F23*10+1</f>
        <v>500001</v>
      </c>
      <c r="H4" s="32">
        <f>'Classement par poule'!T23*10000000+('Classement par poule'!S23+50)*10000+'Classement par poule'!Q23*10+1</f>
        <v>500001</v>
      </c>
      <c r="I4" s="32">
        <f>'Classement par poule'!AE23*10000000+('Classement par poule'!AD23+50)*10000+'Classement par poule'!AB23*10+1</f>
        <v>500001</v>
      </c>
      <c r="J4" s="32">
        <f>'Classement par poule'!I31*10000000+('Classement par poule'!H31+50)*10000+'Classement par poule'!F31*10+1</f>
        <v>500001</v>
      </c>
      <c r="K4" s="32">
        <f>'Classement par poule'!T31*10000000+('Classement par poule'!S31+50)*10000+'Classement par poule'!Q31*10+1</f>
        <v>500001</v>
      </c>
      <c r="L4" s="32">
        <f>'Classement par poule'!AE31*10000000+('Classement par poule'!AD31+50)*10000+'Classement par poule'!AB31*10+1</f>
        <v>500001</v>
      </c>
      <c r="O4" s="32">
        <f>'Classement par poule'!C40*10000000+('Classement par poule'!D40+50)*10000+'Classement par poule'!E40*10+10</f>
        <v>500010</v>
      </c>
    </row>
    <row r="5" spans="1:15" ht="15" customHeight="1" x14ac:dyDescent="0.3">
      <c r="A5" s="32">
        <f>'Classement par poule'!I8*10000000+('Classement par poule'!H8+50)*10000+'Classement par poule'!F8*10+0</f>
        <v>500000</v>
      </c>
      <c r="B5" s="32">
        <f>'Classement par poule'!T8*10000000+('Classement par poule'!S8+50)*10000+'Classement par poule'!Q8*10+0</f>
        <v>500000</v>
      </c>
      <c r="C5" s="32">
        <f>'Classement par poule'!AE8*10000000+('Classement par poule'!AD8+50)*10000+'Classement par poule'!AB8*10+0</f>
        <v>500000</v>
      </c>
      <c r="D5" s="32">
        <f>'Classement par poule'!I16*10000000+('Classement par poule'!H16+50)*10000+'Classement par poule'!F16*10+0</f>
        <v>500000</v>
      </c>
      <c r="E5" s="32">
        <f>'Classement par poule'!T16*10000000+('Classement par poule'!S16+50)*10000+'Classement par poule'!Q16*10+0</f>
        <v>500000</v>
      </c>
      <c r="F5" s="32">
        <f>'Classement par poule'!AE16*10000000+('Classement par poule'!AD16+50)*10000+'Classement par poule'!AB16*10+0</f>
        <v>500000</v>
      </c>
      <c r="G5" s="32">
        <f>'Classement par poule'!I24*10000000+('Classement par poule'!H24+50)*10000+'Classement par poule'!F24*10+0</f>
        <v>500000</v>
      </c>
      <c r="H5" s="32">
        <f>'Classement par poule'!T24*10000000+('Classement par poule'!S24+50)*10000+'Classement par poule'!Q24*10+0</f>
        <v>500000</v>
      </c>
      <c r="I5" s="32">
        <f>'Classement par poule'!AE24*10000000+('Classement par poule'!AD24+50)*10000+'Classement par poule'!AB24*10+0</f>
        <v>500000</v>
      </c>
      <c r="J5" s="32">
        <f>'Classement par poule'!I32*10000000+('Classement par poule'!H32+50)*10000+'Classement par poule'!F32*10+0</f>
        <v>500000</v>
      </c>
      <c r="K5" s="32">
        <f>'Classement par poule'!T32*10000000+('Classement par poule'!S32+50)*10000+'Classement par poule'!Q32*10+0</f>
        <v>500000</v>
      </c>
      <c r="L5" s="32">
        <f>'Classement par poule'!AE32*10000000+('Classement par poule'!AD32+50)*10000+'Classement par poule'!AB32*10+0</f>
        <v>500000</v>
      </c>
      <c r="O5" s="32">
        <f>'Classement par poule'!C41*10000000+('Classement par poule'!D41+50)*10000+'Classement par poule'!E41*10+9</f>
        <v>500009</v>
      </c>
    </row>
    <row r="6" spans="1:15" ht="15" customHeight="1" x14ac:dyDescent="0.3">
      <c r="O6" s="32">
        <f>'Classement par poule'!C42*10000000+('Classement par poule'!D42+50)*10000+'Classement par poule'!E42*10+8</f>
        <v>500008</v>
      </c>
    </row>
    <row r="7" spans="1:15" ht="15" customHeight="1" x14ac:dyDescent="0.3">
      <c r="O7" s="32">
        <f>'Classement par poule'!C43*10000000+('Classement par poule'!D43+50)*10000+'Classement par poule'!E43*10+7</f>
        <v>500007</v>
      </c>
    </row>
    <row r="8" spans="1:15" ht="15" customHeight="1" x14ac:dyDescent="0.3">
      <c r="O8" s="32">
        <f>'Classement par poule'!C44*10000000+('Classement par poule'!D44+50)*10000+'Classement par poule'!E44*10+6</f>
        <v>500006</v>
      </c>
    </row>
    <row r="9" spans="1:15" ht="15" customHeight="1" x14ac:dyDescent="0.3">
      <c r="O9" s="32">
        <f>'Classement par poule'!C45*10000000+('Classement par poule'!D45+50)*10000+'Classement par poule'!E45*10+5</f>
        <v>500005</v>
      </c>
    </row>
    <row r="10" spans="1:15" ht="15" customHeight="1" x14ac:dyDescent="0.3">
      <c r="O10" s="32">
        <f>'Classement par poule'!C46*10000000+('Classement par poule'!D46+50)*10000+'Classement par poule'!E46*10+4</f>
        <v>500004</v>
      </c>
    </row>
    <row r="11" spans="1:15" ht="15" customHeight="1" x14ac:dyDescent="0.3">
      <c r="O11" s="32">
        <f>'Classement par poule'!C47*10000000+('Classement par poule'!D47+50)*10000+'Classement par poule'!E47*10+3</f>
        <v>500003</v>
      </c>
    </row>
    <row r="12" spans="1:15" ht="15" customHeight="1" x14ac:dyDescent="0.3">
      <c r="O12" s="32">
        <f>'Classement par poule'!C48*10000000+('Classement par poule'!D48+50)*10000+'Classement par poule'!E48*10+2</f>
        <v>500002</v>
      </c>
    </row>
    <row r="13" spans="1:15" ht="15" customHeight="1" x14ac:dyDescent="0.3">
      <c r="O13" s="32">
        <f>'Classement par poule'!C49*10000000+('Classement par poule'!D49+50)*10000+'Classement par poule'!E49*10+1</f>
        <v>500001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showGridLines="0" zoomScaleNormal="100" workbookViewId="0"/>
  </sheetViews>
  <sheetFormatPr baseColWidth="10" defaultColWidth="8.6640625" defaultRowHeight="14.4" x14ac:dyDescent="0.3"/>
  <cols>
    <col min="2" max="3" width="18" customWidth="1"/>
  </cols>
  <sheetData>
    <row r="1" spans="1:3" ht="15" customHeight="1" x14ac:dyDescent="0.3">
      <c r="A1" s="31" t="s">
        <v>260</v>
      </c>
    </row>
    <row r="2" spans="1:3" ht="15" customHeight="1" x14ac:dyDescent="0.3">
      <c r="A2" s="33" t="s">
        <v>261</v>
      </c>
      <c r="B2" s="33" t="s">
        <v>262</v>
      </c>
      <c r="C2" s="33" t="s">
        <v>263</v>
      </c>
    </row>
    <row r="3" spans="1:3" ht="15" customHeight="1" x14ac:dyDescent="0.3">
      <c r="A3" s="32" t="s">
        <v>264</v>
      </c>
      <c r="B3" s="32" t="str">
        <f>IF(AND(ISNUMBER('Phase finale'!C26),ISNUMBER('Phase finale'!C27)),IF('Phase finale'!C26&gt;'Phase finale'!C27,'Phase finale'!B26,IF('Phase finale'!C27&gt;'Phase finale'!C26,'Phase finale'!B27,IF(AND(ISNUMBER('Phase finale'!D26),ISNUMBER('Phase finale'!D27)),IF('Phase finale'!D26&gt;'Phase finale'!D27,'Phase finale'!B26,IF('Phase finale'!D27&gt;'Phase finale'!D26,'Phase finale'!B27,"")),""))),"")</f>
        <v/>
      </c>
      <c r="C3" s="32" t="str">
        <f>IF(AND(ISNUMBER('Phase finale'!C26),ISNUMBER('Phase finale'!C27)),IF('Phase finale'!C26&gt;'Phase finale'!C27,'Phase finale'!B27,IF('Phase finale'!C27&gt;'Phase finale'!C26,'Phase finale'!B26,IF(AND(ISNUMBER('Phase finale'!D26),ISNUMBER('Phase finale'!D27)),IF('Phase finale'!D26&gt;'Phase finale'!D27,'Phase finale'!B27,IF('Phase finale'!D27&gt;'Phase finale'!D26,'Phase finale'!B26,"")),""))),"")</f>
        <v/>
      </c>
    </row>
    <row r="4" spans="1:3" ht="15" customHeight="1" x14ac:dyDescent="0.3">
      <c r="A4" s="32" t="s">
        <v>265</v>
      </c>
      <c r="B4" s="32" t="str">
        <f>IF(AND(ISNUMBER('Phase finale'!C18),ISNUMBER('Phase finale'!C19)),IF('Phase finale'!C18&gt;'Phase finale'!C19,'Phase finale'!B18,IF('Phase finale'!C19&gt;'Phase finale'!C18,'Phase finale'!B19,IF(AND(ISNUMBER('Phase finale'!D18),ISNUMBER('Phase finale'!D19)),IF('Phase finale'!D18&gt;'Phase finale'!D19,'Phase finale'!B18,IF('Phase finale'!D19&gt;'Phase finale'!D18,'Phase finale'!B19,"")),""))),"")</f>
        <v/>
      </c>
      <c r="C4" s="32" t="str">
        <f>IF(AND(ISNUMBER('Phase finale'!C18),ISNUMBER('Phase finale'!C19)),IF('Phase finale'!C18&gt;'Phase finale'!C19,'Phase finale'!B19,IF('Phase finale'!C19&gt;'Phase finale'!C18,'Phase finale'!B18,IF(AND(ISNUMBER('Phase finale'!D18),ISNUMBER('Phase finale'!D19)),IF('Phase finale'!D18&gt;'Phase finale'!D19,'Phase finale'!B19,IF('Phase finale'!D19&gt;'Phase finale'!D18,'Phase finale'!B18,"")),""))),"")</f>
        <v/>
      </c>
    </row>
    <row r="5" spans="1:3" ht="15" customHeight="1" x14ac:dyDescent="0.3">
      <c r="A5" s="32" t="s">
        <v>266</v>
      </c>
      <c r="B5" s="32" t="str">
        <f>IF(AND(ISNUMBER('Phase finale'!C30),ISNUMBER('Phase finale'!C31)),IF('Phase finale'!C30&gt;'Phase finale'!C31,'Phase finale'!B30,IF('Phase finale'!C31&gt;'Phase finale'!C30,'Phase finale'!B31,IF(AND(ISNUMBER('Phase finale'!D30),ISNUMBER('Phase finale'!D31)),IF('Phase finale'!D30&gt;'Phase finale'!D31,'Phase finale'!B30,IF('Phase finale'!D31&gt;'Phase finale'!D30,'Phase finale'!B31,"")),""))),"")</f>
        <v/>
      </c>
      <c r="C5" s="32" t="str">
        <f>IF(AND(ISNUMBER('Phase finale'!C30),ISNUMBER('Phase finale'!C31)),IF('Phase finale'!C30&gt;'Phase finale'!C31,'Phase finale'!B31,IF('Phase finale'!C31&gt;'Phase finale'!C30,'Phase finale'!B30,IF(AND(ISNUMBER('Phase finale'!D30),ISNUMBER('Phase finale'!D31)),IF('Phase finale'!D30&gt;'Phase finale'!D31,'Phase finale'!B31,IF('Phase finale'!D31&gt;'Phase finale'!D30,'Phase finale'!B30,"")),""))),"")</f>
        <v/>
      </c>
    </row>
    <row r="6" spans="1:3" ht="15" customHeight="1" x14ac:dyDescent="0.3">
      <c r="A6" s="32" t="s">
        <v>267</v>
      </c>
      <c r="B6" s="32" t="str">
        <f>IF(AND(ISNUMBER('Phase finale'!AI18),ISNUMBER('Phase finale'!AI19)),IF('Phase finale'!AI18&gt;'Phase finale'!AI19,'Phase finale'!AH18,IF('Phase finale'!AI19&gt;'Phase finale'!AI18,'Phase finale'!AH19,IF(AND(ISNUMBER('Phase finale'!AJ18),ISNUMBER('Phase finale'!AJ19)),IF('Phase finale'!AJ18&gt;'Phase finale'!AJ19,'Phase finale'!AH18,IF('Phase finale'!AJ19&gt;'Phase finale'!AJ18,'Phase finale'!AH19,"")),""))),"")</f>
        <v/>
      </c>
      <c r="C6" s="32" t="str">
        <f>IF(AND(ISNUMBER('Phase finale'!AI18),ISNUMBER('Phase finale'!AI19)),IF('Phase finale'!AI18&gt;'Phase finale'!AI19,'Phase finale'!AH19,IF('Phase finale'!AI19&gt;'Phase finale'!AI18,'Phase finale'!AH18,IF(AND(ISNUMBER('Phase finale'!AJ18),ISNUMBER('Phase finale'!AJ19)),IF('Phase finale'!AJ18&gt;'Phase finale'!AJ19,'Phase finale'!AH19,IF('Phase finale'!AJ19&gt;'Phase finale'!AJ18,'Phase finale'!AH18,"")),""))),"")</f>
        <v/>
      </c>
    </row>
    <row r="7" spans="1:3" ht="15" customHeight="1" x14ac:dyDescent="0.3">
      <c r="A7" s="32" t="s">
        <v>268</v>
      </c>
      <c r="B7" s="32" t="str">
        <f>IF(AND(ISNUMBER('Phase finale'!C22),ISNUMBER('Phase finale'!C23)),IF('Phase finale'!C22&gt;'Phase finale'!C23,'Phase finale'!B22,IF('Phase finale'!C23&gt;'Phase finale'!C22,'Phase finale'!B23,IF(AND(ISNUMBER('Phase finale'!D22),ISNUMBER('Phase finale'!D23)),IF('Phase finale'!D22&gt;'Phase finale'!D23,'Phase finale'!B22,IF('Phase finale'!D23&gt;'Phase finale'!D22,'Phase finale'!B23,"")),""))),"")</f>
        <v/>
      </c>
      <c r="C7" s="32" t="str">
        <f>IF(AND(ISNUMBER('Phase finale'!C22),ISNUMBER('Phase finale'!C23)),IF('Phase finale'!C22&gt;'Phase finale'!C23,'Phase finale'!B23,IF('Phase finale'!C23&gt;'Phase finale'!C22,'Phase finale'!B22,IF(AND(ISNUMBER('Phase finale'!D22),ISNUMBER('Phase finale'!D23)),IF('Phase finale'!D22&gt;'Phase finale'!D23,'Phase finale'!B23,IF('Phase finale'!D23&gt;'Phase finale'!D22,'Phase finale'!B22,"")),""))),"")</f>
        <v/>
      </c>
    </row>
    <row r="8" spans="1:3" ht="15" customHeight="1" x14ac:dyDescent="0.3">
      <c r="A8" s="32" t="s">
        <v>269</v>
      </c>
      <c r="B8" s="32" t="str">
        <f>IF(AND(ISNUMBER('Phase finale'!AI22),ISNUMBER('Phase finale'!AI23)),IF('Phase finale'!AI22&gt;'Phase finale'!AI23,'Phase finale'!AH22,IF('Phase finale'!AI23&gt;'Phase finale'!AI22,'Phase finale'!AH23,IF(AND(ISNUMBER('Phase finale'!AJ22),ISNUMBER('Phase finale'!AJ23)),IF('Phase finale'!AJ22&gt;'Phase finale'!AJ23,'Phase finale'!AH22,IF('Phase finale'!AJ23&gt;'Phase finale'!AJ22,'Phase finale'!AH23,"")),""))),"")</f>
        <v/>
      </c>
      <c r="C8" s="32" t="str">
        <f>IF(AND(ISNUMBER('Phase finale'!AI22),ISNUMBER('Phase finale'!AI23)),IF('Phase finale'!AI22&gt;'Phase finale'!AI23,'Phase finale'!AH23,IF('Phase finale'!AI23&gt;'Phase finale'!AI22,'Phase finale'!AH22,IF(AND(ISNUMBER('Phase finale'!AJ22),ISNUMBER('Phase finale'!AJ23)),IF('Phase finale'!AJ22&gt;'Phase finale'!AJ23,'Phase finale'!AH23,IF('Phase finale'!AJ23&gt;'Phase finale'!AJ22,'Phase finale'!AH22,"")),""))),"")</f>
        <v/>
      </c>
    </row>
    <row r="9" spans="1:3" ht="15" customHeight="1" x14ac:dyDescent="0.3">
      <c r="A9" s="32" t="s">
        <v>270</v>
      </c>
      <c r="B9" s="32" t="str">
        <f>IF(AND(ISNUMBER('Phase finale'!AI26),ISNUMBER('Phase finale'!AI27)),IF('Phase finale'!AI26&gt;'Phase finale'!AI27,'Phase finale'!AH26,IF('Phase finale'!AI27&gt;'Phase finale'!AI26,'Phase finale'!AH27,IF(AND(ISNUMBER('Phase finale'!AJ26),ISNUMBER('Phase finale'!AJ27)),IF('Phase finale'!AJ26&gt;'Phase finale'!AJ27,'Phase finale'!AH26,IF('Phase finale'!AJ27&gt;'Phase finale'!AJ26,'Phase finale'!AH27,"")),""))),"")</f>
        <v/>
      </c>
      <c r="C9" s="32" t="str">
        <f>IF(AND(ISNUMBER('Phase finale'!AI26),ISNUMBER('Phase finale'!AI27)),IF('Phase finale'!AI26&gt;'Phase finale'!AI27,'Phase finale'!AH27,IF('Phase finale'!AI27&gt;'Phase finale'!AI26,'Phase finale'!AH26,IF(AND(ISNUMBER('Phase finale'!AJ26),ISNUMBER('Phase finale'!AJ27)),IF('Phase finale'!AJ26&gt;'Phase finale'!AJ27,'Phase finale'!AH27,IF('Phase finale'!AJ27&gt;'Phase finale'!AJ26,'Phase finale'!AH26,"")),""))),"")</f>
        <v/>
      </c>
    </row>
    <row r="10" spans="1:3" ht="15" customHeight="1" x14ac:dyDescent="0.3">
      <c r="A10" s="32" t="s">
        <v>271</v>
      </c>
      <c r="B10" s="32" t="str">
        <f>IF(AND(ISNUMBER('Phase finale'!AI30),ISNUMBER('Phase finale'!AI31)),IF('Phase finale'!AI30&gt;'Phase finale'!AI31,'Phase finale'!AH30,IF('Phase finale'!AI31&gt;'Phase finale'!AI30,'Phase finale'!AH31,IF(AND(ISNUMBER('Phase finale'!AJ30),ISNUMBER('Phase finale'!AJ31)),IF('Phase finale'!AJ30&gt;'Phase finale'!AJ31,'Phase finale'!AH30,IF('Phase finale'!AJ31&gt;'Phase finale'!AJ30,'Phase finale'!AH31,"")),""))),"")</f>
        <v/>
      </c>
      <c r="C10" s="32" t="str">
        <f>IF(AND(ISNUMBER('Phase finale'!AI30),ISNUMBER('Phase finale'!AI31)),IF('Phase finale'!AI30&gt;'Phase finale'!AI31,'Phase finale'!AH31,IF('Phase finale'!AI31&gt;'Phase finale'!AI30,'Phase finale'!AH30,IF(AND(ISNUMBER('Phase finale'!AJ30),ISNUMBER('Phase finale'!AJ31)),IF('Phase finale'!AJ30&gt;'Phase finale'!AJ31,'Phase finale'!AH31,IF('Phase finale'!AJ31&gt;'Phase finale'!AJ30,'Phase finale'!AH30,"")),""))),"")</f>
        <v/>
      </c>
    </row>
    <row r="11" spans="1:3" ht="15" customHeight="1" x14ac:dyDescent="0.3">
      <c r="A11" s="32" t="s">
        <v>272</v>
      </c>
      <c r="B11" s="32" t="str">
        <f>IF(AND(ISNUMBER('Phase finale'!C42),ISNUMBER('Phase finale'!C43)),IF('Phase finale'!C42&gt;'Phase finale'!C43,'Phase finale'!B42,IF('Phase finale'!C43&gt;'Phase finale'!C42,'Phase finale'!B43,IF(AND(ISNUMBER('Phase finale'!D42),ISNUMBER('Phase finale'!D43)),IF('Phase finale'!D42&gt;'Phase finale'!D43,'Phase finale'!B42,IF('Phase finale'!D43&gt;'Phase finale'!D42,'Phase finale'!B43,"")),""))),"")</f>
        <v/>
      </c>
      <c r="C11" s="32" t="str">
        <f>IF(AND(ISNUMBER('Phase finale'!C42),ISNUMBER('Phase finale'!C43)),IF('Phase finale'!C42&gt;'Phase finale'!C43,'Phase finale'!B43,IF('Phase finale'!C43&gt;'Phase finale'!C42,'Phase finale'!B42,IF(AND(ISNUMBER('Phase finale'!D42),ISNUMBER('Phase finale'!D43)),IF('Phase finale'!D42&gt;'Phase finale'!D43,'Phase finale'!B43,IF('Phase finale'!D43&gt;'Phase finale'!D42,'Phase finale'!B42,"")),""))),"")</f>
        <v/>
      </c>
    </row>
    <row r="12" spans="1:3" ht="15" customHeight="1" x14ac:dyDescent="0.3">
      <c r="A12" s="32" t="s">
        <v>273</v>
      </c>
      <c r="B12" s="32" t="str">
        <f>IF(AND(ISNUMBER('Phase finale'!C46),ISNUMBER('Phase finale'!C47)),IF('Phase finale'!C46&gt;'Phase finale'!C47,'Phase finale'!B46,IF('Phase finale'!C47&gt;'Phase finale'!C46,'Phase finale'!B47,IF(AND(ISNUMBER('Phase finale'!D46),ISNUMBER('Phase finale'!D47)),IF('Phase finale'!D46&gt;'Phase finale'!D47,'Phase finale'!B46,IF('Phase finale'!D47&gt;'Phase finale'!D46,'Phase finale'!B47,"")),""))),"")</f>
        <v/>
      </c>
      <c r="C12" s="32" t="str">
        <f>IF(AND(ISNUMBER('Phase finale'!C46),ISNUMBER('Phase finale'!C47)),IF('Phase finale'!C46&gt;'Phase finale'!C47,'Phase finale'!B47,IF('Phase finale'!C47&gt;'Phase finale'!C46,'Phase finale'!B46,IF(AND(ISNUMBER('Phase finale'!D46),ISNUMBER('Phase finale'!D47)),IF('Phase finale'!D46&gt;'Phase finale'!D47,'Phase finale'!B47,IF('Phase finale'!D47&gt;'Phase finale'!D46,'Phase finale'!B46,"")),""))),"")</f>
        <v/>
      </c>
    </row>
    <row r="13" spans="1:3" ht="15" customHeight="1" x14ac:dyDescent="0.3">
      <c r="A13" s="32" t="s">
        <v>274</v>
      </c>
      <c r="B13" s="32" t="str">
        <f>IF(AND(ISNUMBER('Phase finale'!C34),ISNUMBER('Phase finale'!C35)),IF('Phase finale'!C34&gt;'Phase finale'!C35,'Phase finale'!B34,IF('Phase finale'!C35&gt;'Phase finale'!C34,'Phase finale'!B35,IF(AND(ISNUMBER('Phase finale'!D34),ISNUMBER('Phase finale'!D35)),IF('Phase finale'!D34&gt;'Phase finale'!D35,'Phase finale'!B34,IF('Phase finale'!D35&gt;'Phase finale'!D34,'Phase finale'!B35,"")),""))),"")</f>
        <v/>
      </c>
      <c r="C13" s="32" t="str">
        <f>IF(AND(ISNUMBER('Phase finale'!C34),ISNUMBER('Phase finale'!C35)),IF('Phase finale'!C34&gt;'Phase finale'!C35,'Phase finale'!B35,IF('Phase finale'!C35&gt;'Phase finale'!C34,'Phase finale'!B34,IF(AND(ISNUMBER('Phase finale'!D34),ISNUMBER('Phase finale'!D35)),IF('Phase finale'!D34&gt;'Phase finale'!D35,'Phase finale'!B35,IF('Phase finale'!D35&gt;'Phase finale'!D34,'Phase finale'!B34,"")),""))),"")</f>
        <v/>
      </c>
    </row>
    <row r="14" spans="1:3" ht="15" customHeight="1" x14ac:dyDescent="0.3">
      <c r="A14" s="32" t="s">
        <v>275</v>
      </c>
      <c r="B14" s="32" t="str">
        <f>IF(AND(ISNUMBER('Phase finale'!C38),ISNUMBER('Phase finale'!C39)),IF('Phase finale'!C38&gt;'Phase finale'!C39,'Phase finale'!B38,IF('Phase finale'!C39&gt;'Phase finale'!C38,'Phase finale'!B39,IF(AND(ISNUMBER('Phase finale'!D38),ISNUMBER('Phase finale'!D39)),IF('Phase finale'!D38&gt;'Phase finale'!D39,'Phase finale'!B38,IF('Phase finale'!D39&gt;'Phase finale'!D38,'Phase finale'!B39,"")),""))),"")</f>
        <v/>
      </c>
      <c r="C14" s="32" t="str">
        <f>IF(AND(ISNUMBER('Phase finale'!C38),ISNUMBER('Phase finale'!C39)),IF('Phase finale'!C38&gt;'Phase finale'!C39,'Phase finale'!B39,IF('Phase finale'!C39&gt;'Phase finale'!C38,'Phase finale'!B38,IF(AND(ISNUMBER('Phase finale'!D38),ISNUMBER('Phase finale'!D39)),IF('Phase finale'!D38&gt;'Phase finale'!D39,'Phase finale'!B39,IF('Phase finale'!D39&gt;'Phase finale'!D38,'Phase finale'!B38,"")),""))),"")</f>
        <v/>
      </c>
    </row>
    <row r="15" spans="1:3" ht="15" customHeight="1" x14ac:dyDescent="0.3">
      <c r="A15" s="32" t="s">
        <v>276</v>
      </c>
      <c r="B15" s="32" t="str">
        <f>IF(AND(ISNUMBER('Phase finale'!AI42),ISNUMBER('Phase finale'!AI43)),IF('Phase finale'!AI42&gt;'Phase finale'!AI43,'Phase finale'!AH42,IF('Phase finale'!AI43&gt;'Phase finale'!AI42,'Phase finale'!AH43,IF(AND(ISNUMBER('Phase finale'!AJ42),ISNUMBER('Phase finale'!AJ43)),IF('Phase finale'!AJ42&gt;'Phase finale'!AJ43,'Phase finale'!AH42,IF('Phase finale'!AJ43&gt;'Phase finale'!AJ42,'Phase finale'!AH43,"")),""))),"")</f>
        <v/>
      </c>
      <c r="C15" s="32" t="str">
        <f>IF(AND(ISNUMBER('Phase finale'!AI42),ISNUMBER('Phase finale'!AI43)),IF('Phase finale'!AI42&gt;'Phase finale'!AI43,'Phase finale'!AH43,IF('Phase finale'!AI43&gt;'Phase finale'!AI42,'Phase finale'!AH42,IF(AND(ISNUMBER('Phase finale'!AJ42),ISNUMBER('Phase finale'!AJ43)),IF('Phase finale'!AJ42&gt;'Phase finale'!AJ43,'Phase finale'!AH43,IF('Phase finale'!AJ43&gt;'Phase finale'!AJ42,'Phase finale'!AH42,"")),""))),"")</f>
        <v/>
      </c>
    </row>
    <row r="16" spans="1:3" ht="15" customHeight="1" x14ac:dyDescent="0.3">
      <c r="A16" s="32" t="s">
        <v>277</v>
      </c>
      <c r="B16" s="32" t="str">
        <f>IF(AND(ISNUMBER('Phase finale'!AI34),ISNUMBER('Phase finale'!AI35)),IF('Phase finale'!AI34&gt;'Phase finale'!AI35,'Phase finale'!AH34,IF('Phase finale'!AI35&gt;'Phase finale'!AI34,'Phase finale'!AH35,IF(AND(ISNUMBER('Phase finale'!AJ34),ISNUMBER('Phase finale'!AJ35)),IF('Phase finale'!AJ34&gt;'Phase finale'!AJ35,'Phase finale'!AH34,IF('Phase finale'!AJ35&gt;'Phase finale'!AJ34,'Phase finale'!AH35,"")),""))),"")</f>
        <v/>
      </c>
      <c r="C16" s="32" t="str">
        <f>IF(AND(ISNUMBER('Phase finale'!AI34),ISNUMBER('Phase finale'!AI35)),IF('Phase finale'!AI34&gt;'Phase finale'!AI35,'Phase finale'!AH35,IF('Phase finale'!AI35&gt;'Phase finale'!AI34,'Phase finale'!AH34,IF(AND(ISNUMBER('Phase finale'!AJ34),ISNUMBER('Phase finale'!AJ35)),IF('Phase finale'!AJ34&gt;'Phase finale'!AJ35,'Phase finale'!AH35,IF('Phase finale'!AJ35&gt;'Phase finale'!AJ34,'Phase finale'!AH34,"")),""))),"")</f>
        <v/>
      </c>
    </row>
    <row r="17" spans="1:3" ht="15" customHeight="1" x14ac:dyDescent="0.3">
      <c r="A17" s="32" t="s">
        <v>278</v>
      </c>
      <c r="B17" s="32" t="str">
        <f>IF(AND(ISNUMBER('Phase finale'!AI46),ISNUMBER('Phase finale'!AI47)),IF('Phase finale'!AI46&gt;'Phase finale'!AI47,'Phase finale'!AH46,IF('Phase finale'!AI47&gt;'Phase finale'!AI46,'Phase finale'!AH47,IF(AND(ISNUMBER('Phase finale'!AJ46),ISNUMBER('Phase finale'!AJ47)),IF('Phase finale'!AJ46&gt;'Phase finale'!AJ47,'Phase finale'!AH46,IF('Phase finale'!AJ47&gt;'Phase finale'!AJ46,'Phase finale'!AH47,"")),""))),"")</f>
        <v/>
      </c>
      <c r="C17" s="32" t="str">
        <f>IF(AND(ISNUMBER('Phase finale'!AI46),ISNUMBER('Phase finale'!AI47)),IF('Phase finale'!AI46&gt;'Phase finale'!AI47,'Phase finale'!AH47,IF('Phase finale'!AI47&gt;'Phase finale'!AI46,'Phase finale'!AH46,IF(AND(ISNUMBER('Phase finale'!AJ46),ISNUMBER('Phase finale'!AJ47)),IF('Phase finale'!AJ46&gt;'Phase finale'!AJ47,'Phase finale'!AH47,IF('Phase finale'!AJ47&gt;'Phase finale'!AJ46,'Phase finale'!AH46,"")),""))),"")</f>
        <v/>
      </c>
    </row>
    <row r="18" spans="1:3" ht="15" customHeight="1" x14ac:dyDescent="0.3">
      <c r="A18" s="32" t="s">
        <v>279</v>
      </c>
      <c r="B18" s="32" t="str">
        <f>IF(AND(ISNUMBER('Phase finale'!AI38),ISNUMBER('Phase finale'!AI39)),IF('Phase finale'!AI38&gt;'Phase finale'!AI39,'Phase finale'!AH38,IF('Phase finale'!AI39&gt;'Phase finale'!AI38,'Phase finale'!AH39,IF(AND(ISNUMBER('Phase finale'!AJ38),ISNUMBER('Phase finale'!AJ39)),IF('Phase finale'!AJ38&gt;'Phase finale'!AJ39,'Phase finale'!AH38,IF('Phase finale'!AJ39&gt;'Phase finale'!AJ38,'Phase finale'!AH39,"")),""))),"")</f>
        <v/>
      </c>
      <c r="C18" s="32" t="str">
        <f>IF(AND(ISNUMBER('Phase finale'!AI38),ISNUMBER('Phase finale'!AI39)),IF('Phase finale'!AI38&gt;'Phase finale'!AI39,'Phase finale'!AH39,IF('Phase finale'!AI39&gt;'Phase finale'!AI38,'Phase finale'!AH38,IF(AND(ISNUMBER('Phase finale'!AJ38),ISNUMBER('Phase finale'!AJ39)),IF('Phase finale'!AJ38&gt;'Phase finale'!AJ39,'Phase finale'!AH39,IF('Phase finale'!AJ39&gt;'Phase finale'!AJ38,'Phase finale'!AH38,"")),""))),"")</f>
        <v/>
      </c>
    </row>
    <row r="19" spans="1:3" ht="15" customHeight="1" x14ac:dyDescent="0.3">
      <c r="A19" s="32" t="s">
        <v>280</v>
      </c>
      <c r="B19" s="32" t="str">
        <f>IF(AND(ISNUMBER('Phase finale'!G20),ISNUMBER('Phase finale'!G21)),IF('Phase finale'!G20&gt;'Phase finale'!G21,'Phase finale'!F20,IF('Phase finale'!G21&gt;'Phase finale'!G20,'Phase finale'!F21,IF(AND(ISNUMBER('Phase finale'!H20),ISNUMBER('Phase finale'!H21)),IF('Phase finale'!H20&gt;'Phase finale'!H21,'Phase finale'!F20,IF('Phase finale'!H21&gt;'Phase finale'!H20,'Phase finale'!F21,"")),""))),"")</f>
        <v/>
      </c>
      <c r="C19" s="32" t="str">
        <f>IF(AND(ISNUMBER('Phase finale'!G20),ISNUMBER('Phase finale'!G21)),IF('Phase finale'!G20&gt;'Phase finale'!G21,'Phase finale'!F21,IF('Phase finale'!G21&gt;'Phase finale'!G20,'Phase finale'!F20,IF(AND(ISNUMBER('Phase finale'!H20),ISNUMBER('Phase finale'!H21)),IF('Phase finale'!H20&gt;'Phase finale'!H21,'Phase finale'!F21,IF('Phase finale'!H21&gt;'Phase finale'!H20,'Phase finale'!F20,"")),""))),"")</f>
        <v/>
      </c>
    </row>
    <row r="20" spans="1:3" ht="15" customHeight="1" x14ac:dyDescent="0.3">
      <c r="A20" s="32" t="s">
        <v>281</v>
      </c>
      <c r="B20" s="32" t="str">
        <f>IF(AND(ISNUMBER('Phase finale'!G28),ISNUMBER('Phase finale'!G29)),IF('Phase finale'!G28&gt;'Phase finale'!G29,'Phase finale'!F28,IF('Phase finale'!G29&gt;'Phase finale'!G28,'Phase finale'!F29,IF(AND(ISNUMBER('Phase finale'!H28),ISNUMBER('Phase finale'!H29)),IF('Phase finale'!H28&gt;'Phase finale'!H29,'Phase finale'!F28,IF('Phase finale'!H29&gt;'Phase finale'!H28,'Phase finale'!F29,"")),""))),"")</f>
        <v/>
      </c>
      <c r="C20" s="32" t="str">
        <f>IF(AND(ISNUMBER('Phase finale'!G28),ISNUMBER('Phase finale'!G29)),IF('Phase finale'!G28&gt;'Phase finale'!G29,'Phase finale'!F29,IF('Phase finale'!G29&gt;'Phase finale'!G28,'Phase finale'!F28,IF(AND(ISNUMBER('Phase finale'!H28),ISNUMBER('Phase finale'!H29)),IF('Phase finale'!H28&gt;'Phase finale'!H29,'Phase finale'!F29,IF('Phase finale'!H29&gt;'Phase finale'!H28,'Phase finale'!F28,"")),""))),"")</f>
        <v/>
      </c>
    </row>
    <row r="21" spans="1:3" ht="15" customHeight="1" x14ac:dyDescent="0.3">
      <c r="A21" s="32" t="s">
        <v>282</v>
      </c>
      <c r="B21" s="32" t="str">
        <f>IF(AND(ISNUMBER('Phase finale'!AE20),ISNUMBER('Phase finale'!AE21)),IF('Phase finale'!AE20&gt;'Phase finale'!AE21,'Phase finale'!AD20,IF('Phase finale'!AE21&gt;'Phase finale'!AE20,'Phase finale'!AD21,IF(AND(ISNUMBER('Phase finale'!AF20),ISNUMBER('Phase finale'!AF21)),IF('Phase finale'!AF20&gt;'Phase finale'!AF21,'Phase finale'!AD20,IF('Phase finale'!AF21&gt;'Phase finale'!AF20,'Phase finale'!AD21,"")),""))),"")</f>
        <v/>
      </c>
      <c r="C21" s="32" t="str">
        <f>IF(AND(ISNUMBER('Phase finale'!AE20),ISNUMBER('Phase finale'!AE21)),IF('Phase finale'!AE20&gt;'Phase finale'!AE21,'Phase finale'!AD21,IF('Phase finale'!AE21&gt;'Phase finale'!AE20,'Phase finale'!AD20,IF(AND(ISNUMBER('Phase finale'!AF20),ISNUMBER('Phase finale'!AF21)),IF('Phase finale'!AF20&gt;'Phase finale'!AF21,'Phase finale'!AD21,IF('Phase finale'!AF21&gt;'Phase finale'!AF20,'Phase finale'!AD20,"")),""))),"")</f>
        <v/>
      </c>
    </row>
    <row r="22" spans="1:3" ht="15" customHeight="1" x14ac:dyDescent="0.3">
      <c r="A22" s="32" t="s">
        <v>283</v>
      </c>
      <c r="B22" s="32" t="str">
        <f>IF(AND(ISNUMBER('Phase finale'!AE28),ISNUMBER('Phase finale'!AE29)),IF('Phase finale'!AE28&gt;'Phase finale'!AE29,'Phase finale'!AD28,IF('Phase finale'!AE29&gt;'Phase finale'!AE28,'Phase finale'!AD29,IF(AND(ISNUMBER('Phase finale'!AF28),ISNUMBER('Phase finale'!AF29)),IF('Phase finale'!AF28&gt;'Phase finale'!AF29,'Phase finale'!AD28,IF('Phase finale'!AF29&gt;'Phase finale'!AF28,'Phase finale'!AD29,"")),""))),"")</f>
        <v/>
      </c>
      <c r="C22" s="32" t="str">
        <f>IF(AND(ISNUMBER('Phase finale'!AE28),ISNUMBER('Phase finale'!AE29)),IF('Phase finale'!AE28&gt;'Phase finale'!AE29,'Phase finale'!AD29,IF('Phase finale'!AE29&gt;'Phase finale'!AE28,'Phase finale'!AD28,IF(AND(ISNUMBER('Phase finale'!AF28),ISNUMBER('Phase finale'!AF29)),IF('Phase finale'!AF28&gt;'Phase finale'!AF29,'Phase finale'!AD29,IF('Phase finale'!AF29&gt;'Phase finale'!AF28,'Phase finale'!AD28,"")),""))),"")</f>
        <v/>
      </c>
    </row>
    <row r="23" spans="1:3" ht="15" customHeight="1" x14ac:dyDescent="0.3">
      <c r="A23" s="32" t="s">
        <v>284</v>
      </c>
      <c r="B23" s="32" t="str">
        <f>IF(AND(ISNUMBER('Phase finale'!G36),ISNUMBER('Phase finale'!G37)),IF('Phase finale'!G36&gt;'Phase finale'!G37,'Phase finale'!F36,IF('Phase finale'!G37&gt;'Phase finale'!G36,'Phase finale'!F37,IF(AND(ISNUMBER('Phase finale'!H36),ISNUMBER('Phase finale'!H37)),IF('Phase finale'!H36&gt;'Phase finale'!H37,'Phase finale'!F36,IF('Phase finale'!H37&gt;'Phase finale'!H36,'Phase finale'!F37,"")),""))),"")</f>
        <v/>
      </c>
      <c r="C23" s="32" t="str">
        <f>IF(AND(ISNUMBER('Phase finale'!G36),ISNUMBER('Phase finale'!G37)),IF('Phase finale'!G36&gt;'Phase finale'!G37,'Phase finale'!F37,IF('Phase finale'!G37&gt;'Phase finale'!G36,'Phase finale'!F36,IF(AND(ISNUMBER('Phase finale'!H36),ISNUMBER('Phase finale'!H37)),IF('Phase finale'!H36&gt;'Phase finale'!H37,'Phase finale'!F37,IF('Phase finale'!H37&gt;'Phase finale'!H36,'Phase finale'!F36,"")),""))),"")</f>
        <v/>
      </c>
    </row>
    <row r="24" spans="1:3" ht="15" customHeight="1" x14ac:dyDescent="0.3">
      <c r="A24" s="32" t="s">
        <v>285</v>
      </c>
      <c r="B24" s="32" t="str">
        <f>IF(AND(ISNUMBER('Phase finale'!G44),ISNUMBER('Phase finale'!G45)),IF('Phase finale'!G44&gt;'Phase finale'!G45,'Phase finale'!F44,IF('Phase finale'!G45&gt;'Phase finale'!G44,'Phase finale'!F45,IF(AND(ISNUMBER('Phase finale'!H44),ISNUMBER('Phase finale'!H45)),IF('Phase finale'!H44&gt;'Phase finale'!H45,'Phase finale'!F44,IF('Phase finale'!H45&gt;'Phase finale'!H44,'Phase finale'!F45,"")),""))),"")</f>
        <v/>
      </c>
      <c r="C24" s="32" t="str">
        <f>IF(AND(ISNUMBER('Phase finale'!G44),ISNUMBER('Phase finale'!G45)),IF('Phase finale'!G44&gt;'Phase finale'!G45,'Phase finale'!F45,IF('Phase finale'!G45&gt;'Phase finale'!G44,'Phase finale'!F44,IF(AND(ISNUMBER('Phase finale'!H44),ISNUMBER('Phase finale'!H45)),IF('Phase finale'!H44&gt;'Phase finale'!H45,'Phase finale'!F45,IF('Phase finale'!H45&gt;'Phase finale'!H44,'Phase finale'!F44,"")),""))),"")</f>
        <v/>
      </c>
    </row>
    <row r="25" spans="1:3" ht="15" customHeight="1" x14ac:dyDescent="0.3">
      <c r="A25" s="32" t="s">
        <v>286</v>
      </c>
      <c r="B25" s="32" t="str">
        <f>IF(AND(ISNUMBER('Phase finale'!AE36),ISNUMBER('Phase finale'!AE37)),IF('Phase finale'!AE36&gt;'Phase finale'!AE37,'Phase finale'!AD36,IF('Phase finale'!AE37&gt;'Phase finale'!AE36,'Phase finale'!AD37,IF(AND(ISNUMBER('Phase finale'!AF36),ISNUMBER('Phase finale'!AF37)),IF('Phase finale'!AF36&gt;'Phase finale'!AF37,'Phase finale'!AD36,IF('Phase finale'!AF37&gt;'Phase finale'!AF36,'Phase finale'!AD37,"")),""))),"")</f>
        <v/>
      </c>
      <c r="C25" s="32" t="str">
        <f>IF(AND(ISNUMBER('Phase finale'!AE36),ISNUMBER('Phase finale'!AE37)),IF('Phase finale'!AE36&gt;'Phase finale'!AE37,'Phase finale'!AD37,IF('Phase finale'!AE37&gt;'Phase finale'!AE36,'Phase finale'!AD36,IF(AND(ISNUMBER('Phase finale'!AF36),ISNUMBER('Phase finale'!AF37)),IF('Phase finale'!AF36&gt;'Phase finale'!AF37,'Phase finale'!AD37,IF('Phase finale'!AF37&gt;'Phase finale'!AF36,'Phase finale'!AD36,"")),""))),"")</f>
        <v/>
      </c>
    </row>
    <row r="26" spans="1:3" ht="15" customHeight="1" x14ac:dyDescent="0.3">
      <c r="A26" s="32" t="s">
        <v>287</v>
      </c>
      <c r="B26" s="32" t="str">
        <f>IF(AND(ISNUMBER('Phase finale'!AE44),ISNUMBER('Phase finale'!AE45)),IF('Phase finale'!AE44&gt;'Phase finale'!AE45,'Phase finale'!AD44,IF('Phase finale'!AE45&gt;'Phase finale'!AE44,'Phase finale'!AD45,IF(AND(ISNUMBER('Phase finale'!AF44),ISNUMBER('Phase finale'!AF45)),IF('Phase finale'!AF44&gt;'Phase finale'!AF45,'Phase finale'!AD44,IF('Phase finale'!AF45&gt;'Phase finale'!AF44,'Phase finale'!AD45,"")),""))),"")</f>
        <v/>
      </c>
      <c r="C26" s="32" t="str">
        <f>IF(AND(ISNUMBER('Phase finale'!AE44),ISNUMBER('Phase finale'!AE45)),IF('Phase finale'!AE44&gt;'Phase finale'!AE45,'Phase finale'!AD45,IF('Phase finale'!AE45&gt;'Phase finale'!AE44,'Phase finale'!AD44,IF(AND(ISNUMBER('Phase finale'!AF44),ISNUMBER('Phase finale'!AF45)),IF('Phase finale'!AF44&gt;'Phase finale'!AF45,'Phase finale'!AD45,IF('Phase finale'!AF45&gt;'Phase finale'!AF44,'Phase finale'!AD44,"")),""))),"")</f>
        <v/>
      </c>
    </row>
    <row r="27" spans="1:3" ht="15" customHeight="1" x14ac:dyDescent="0.3">
      <c r="A27" s="32" t="s">
        <v>288</v>
      </c>
      <c r="B27" s="32" t="str">
        <f>IF(AND(ISNUMBER('Phase finale'!K24),ISNUMBER('Phase finale'!K25)),IF('Phase finale'!K24&gt;'Phase finale'!K25,'Phase finale'!J24,IF('Phase finale'!K25&gt;'Phase finale'!K24,'Phase finale'!J25,IF(AND(ISNUMBER('Phase finale'!L24),ISNUMBER('Phase finale'!L25)),IF('Phase finale'!L24&gt;'Phase finale'!L25,'Phase finale'!J24,IF('Phase finale'!L25&gt;'Phase finale'!L24,'Phase finale'!J25,"")),""))),"")</f>
        <v/>
      </c>
      <c r="C27" s="32" t="str">
        <f>IF(AND(ISNUMBER('Phase finale'!K24),ISNUMBER('Phase finale'!K25)),IF('Phase finale'!K24&gt;'Phase finale'!K25,'Phase finale'!J25,IF('Phase finale'!K25&gt;'Phase finale'!K24,'Phase finale'!J24,IF(AND(ISNUMBER('Phase finale'!L24),ISNUMBER('Phase finale'!L25)),IF('Phase finale'!L24&gt;'Phase finale'!L25,'Phase finale'!J25,IF('Phase finale'!L25&gt;'Phase finale'!L24,'Phase finale'!J24,"")),""))),"")</f>
        <v/>
      </c>
    </row>
    <row r="28" spans="1:3" ht="15" customHeight="1" x14ac:dyDescent="0.3">
      <c r="A28" s="32" t="s">
        <v>289</v>
      </c>
      <c r="B28" s="32" t="str">
        <f>IF(AND(ISNUMBER('Phase finale'!K40),ISNUMBER('Phase finale'!K41)),IF('Phase finale'!K40&gt;'Phase finale'!K41,'Phase finale'!J40,IF('Phase finale'!K41&gt;'Phase finale'!K40,'Phase finale'!J41,IF(AND(ISNUMBER('Phase finale'!L40),ISNUMBER('Phase finale'!L41)),IF('Phase finale'!L40&gt;'Phase finale'!L41,'Phase finale'!J40,IF('Phase finale'!L41&gt;'Phase finale'!L40,'Phase finale'!J41,"")),""))),"")</f>
        <v/>
      </c>
      <c r="C28" s="32" t="str">
        <f>IF(AND(ISNUMBER('Phase finale'!K40),ISNUMBER('Phase finale'!K41)),IF('Phase finale'!K40&gt;'Phase finale'!K41,'Phase finale'!J41,IF('Phase finale'!K41&gt;'Phase finale'!K40,'Phase finale'!J40,IF(AND(ISNUMBER('Phase finale'!L40),ISNUMBER('Phase finale'!L41)),IF('Phase finale'!L40&gt;'Phase finale'!L41,'Phase finale'!J41,IF('Phase finale'!L41&gt;'Phase finale'!L40,'Phase finale'!J40,"")),""))),"")</f>
        <v/>
      </c>
    </row>
    <row r="29" spans="1:3" ht="15" customHeight="1" x14ac:dyDescent="0.3">
      <c r="A29" s="32" t="s">
        <v>290</v>
      </c>
      <c r="B29" s="32" t="str">
        <f>IF(AND(ISNUMBER('Phase finale'!AA24),ISNUMBER('Phase finale'!AA25)),IF('Phase finale'!AA24&gt;'Phase finale'!AA25,'Phase finale'!Z24,IF('Phase finale'!AA25&gt;'Phase finale'!AA24,'Phase finale'!Z25,IF(AND(ISNUMBER('Phase finale'!AB24),ISNUMBER('Phase finale'!AB25)),IF('Phase finale'!AB24&gt;'Phase finale'!AB25,'Phase finale'!Z24,IF('Phase finale'!AB25&gt;'Phase finale'!AB24,'Phase finale'!Z25,"")),""))),"")</f>
        <v/>
      </c>
      <c r="C29" s="32" t="str">
        <f>IF(AND(ISNUMBER('Phase finale'!AA24),ISNUMBER('Phase finale'!AA25)),IF('Phase finale'!AA24&gt;'Phase finale'!AA25,'Phase finale'!Z25,IF('Phase finale'!AA25&gt;'Phase finale'!AA24,'Phase finale'!Z24,IF(AND(ISNUMBER('Phase finale'!AB24),ISNUMBER('Phase finale'!AB25)),IF('Phase finale'!AB24&gt;'Phase finale'!AB25,'Phase finale'!Z25,IF('Phase finale'!AB25&gt;'Phase finale'!AB24,'Phase finale'!Z24,"")),""))),"")</f>
        <v/>
      </c>
    </row>
    <row r="30" spans="1:3" ht="15" customHeight="1" x14ac:dyDescent="0.3">
      <c r="A30" s="32" t="s">
        <v>291</v>
      </c>
      <c r="B30" s="32" t="str">
        <f>IF(AND(ISNUMBER('Phase finale'!AA40),ISNUMBER('Phase finale'!AA41)),IF('Phase finale'!AA40&gt;'Phase finale'!AA41,'Phase finale'!Z40,IF('Phase finale'!AA41&gt;'Phase finale'!AA40,'Phase finale'!Z41,IF(AND(ISNUMBER('Phase finale'!AB40),ISNUMBER('Phase finale'!AB41)),IF('Phase finale'!AB40&gt;'Phase finale'!AB41,'Phase finale'!Z40,IF('Phase finale'!AB41&gt;'Phase finale'!AB40,'Phase finale'!Z41,"")),""))),"")</f>
        <v/>
      </c>
      <c r="C30" s="32" t="str">
        <f>IF(AND(ISNUMBER('Phase finale'!AA40),ISNUMBER('Phase finale'!AA41)),IF('Phase finale'!AA40&gt;'Phase finale'!AA41,'Phase finale'!Z41,IF('Phase finale'!AA41&gt;'Phase finale'!AA40,'Phase finale'!Z40,IF(AND(ISNUMBER('Phase finale'!AB40),ISNUMBER('Phase finale'!AB41)),IF('Phase finale'!AB40&gt;'Phase finale'!AB41,'Phase finale'!Z41,IF('Phase finale'!AB41&gt;'Phase finale'!AB40,'Phase finale'!Z40,"")),""))),"")</f>
        <v/>
      </c>
    </row>
    <row r="31" spans="1:3" ht="15" customHeight="1" x14ac:dyDescent="0.3">
      <c r="A31" s="32" t="s">
        <v>292</v>
      </c>
      <c r="B31" s="32" t="str">
        <f>IF(AND(ISNUMBER('Phase finale'!O32),ISNUMBER('Phase finale'!O33)),IF('Phase finale'!O32&gt;'Phase finale'!O33,'Phase finale'!N32,IF('Phase finale'!O33&gt;'Phase finale'!O32,'Phase finale'!N33,IF(AND(ISNUMBER('Phase finale'!P32),ISNUMBER('Phase finale'!P33)),IF('Phase finale'!P32&gt;'Phase finale'!P33,'Phase finale'!N32,IF('Phase finale'!P33&gt;'Phase finale'!P32,'Phase finale'!N33,"")),""))),"")</f>
        <v/>
      </c>
      <c r="C31" s="32" t="str">
        <f>IF(AND(ISNUMBER('Phase finale'!O32),ISNUMBER('Phase finale'!O33)),IF('Phase finale'!O32&gt;'Phase finale'!O33,'Phase finale'!N33,IF('Phase finale'!O33&gt;'Phase finale'!O32,'Phase finale'!N32,IF(AND(ISNUMBER('Phase finale'!P32),ISNUMBER('Phase finale'!P33)),IF('Phase finale'!P32&gt;'Phase finale'!P33,'Phase finale'!N33,IF('Phase finale'!P33&gt;'Phase finale'!P32,'Phase finale'!N32,"")),""))),"")</f>
        <v/>
      </c>
    </row>
    <row r="32" spans="1:3" ht="15" customHeight="1" x14ac:dyDescent="0.3">
      <c r="A32" s="32" t="s">
        <v>293</v>
      </c>
      <c r="B32" s="32" t="str">
        <f>IF(AND(ISNUMBER('Phase finale'!W32),ISNUMBER('Phase finale'!W33)),IF('Phase finale'!W32&gt;'Phase finale'!W33,'Phase finale'!V32,IF('Phase finale'!W33&gt;'Phase finale'!W32,'Phase finale'!V33,IF(AND(ISNUMBER('Phase finale'!X32),ISNUMBER('Phase finale'!X33)),IF('Phase finale'!X32&gt;'Phase finale'!X33,'Phase finale'!V32,IF('Phase finale'!X33&gt;'Phase finale'!X32,'Phase finale'!V33,"")),""))),"")</f>
        <v/>
      </c>
      <c r="C32" s="32" t="str">
        <f>IF(AND(ISNUMBER('Phase finale'!W32),ISNUMBER('Phase finale'!W33)),IF('Phase finale'!W32&gt;'Phase finale'!W33,'Phase finale'!V33,IF('Phase finale'!W33&gt;'Phase finale'!W32,'Phase finale'!V32,IF(AND(ISNUMBER('Phase finale'!X32),ISNUMBER('Phase finale'!X33)),IF('Phase finale'!X32&gt;'Phase finale'!X33,'Phase finale'!V33,IF('Phase finale'!X33&gt;'Phase finale'!X32,'Phase finale'!V32,"")),""))),"")</f>
        <v/>
      </c>
    </row>
    <row r="33" spans="1:3" ht="15" customHeight="1" x14ac:dyDescent="0.3">
      <c r="A33" s="32" t="s">
        <v>294</v>
      </c>
      <c r="B33" s="32" t="str">
        <f>IF(AND(ISNUMBER('Phase finale'!S32),ISNUMBER('Phase finale'!S33)),IF('Phase finale'!S32&gt;'Phase finale'!S33,'Phase finale'!R32,IF('Phase finale'!S33&gt;'Phase finale'!S32,'Phase finale'!R33,IF(AND(ISNUMBER('Phase finale'!T32),ISNUMBER('Phase finale'!T33)),IF('Phase finale'!T32&gt;'Phase finale'!T33,'Phase finale'!R32,IF('Phase finale'!T33&gt;'Phase finale'!T32,'Phase finale'!R33,"")),""))),"")</f>
        <v/>
      </c>
      <c r="C33" s="32" t="str">
        <f>IF(AND(ISNUMBER('Phase finale'!S32),ISNUMBER('Phase finale'!S33)),IF('Phase finale'!S32&gt;'Phase finale'!S33,'Phase finale'!R33,IF('Phase finale'!S33&gt;'Phase finale'!S32,'Phase finale'!R32,IF(AND(ISNUMBER('Phase finale'!T32),ISNUMBER('Phase finale'!T33)),IF('Phase finale'!T32&gt;'Phase finale'!T33,'Phase finale'!R33,IF('Phase finale'!T33&gt;'Phase finale'!T32,'Phase finale'!R32,"")),""))),"")</f>
        <v/>
      </c>
    </row>
    <row r="34" spans="1:3" ht="15" customHeight="1" x14ac:dyDescent="0.3">
      <c r="A34" s="32" t="s">
        <v>295</v>
      </c>
      <c r="B34" s="32" t="str">
        <f>IF(AND(ISNUMBER('Phase finale'!S52),ISNUMBER('Phase finale'!S53)),IF('Phase finale'!S52&gt;'Phase finale'!S53,'Phase finale'!R52,IF('Phase finale'!S53&gt;'Phase finale'!S52,'Phase finale'!R53,IF(AND(ISNUMBER('Phase finale'!T52),ISNUMBER('Phase finale'!T53)),IF('Phase finale'!T52&gt;'Phase finale'!T53,'Phase finale'!R52,IF('Phase finale'!T53&gt;'Phase finale'!T52,'Phase finale'!R53,"")),""))),"")</f>
        <v/>
      </c>
      <c r="C34" s="32" t="str">
        <f>IF(AND(ISNUMBER('Phase finale'!S52),ISNUMBER('Phase finale'!S53)),IF('Phase finale'!S52&gt;'Phase finale'!S53,'Phase finale'!R53,IF('Phase finale'!S53&gt;'Phase finale'!S52,'Phase finale'!R52,IF(AND(ISNUMBER('Phase finale'!T52),ISNUMBER('Phase finale'!T53)),IF('Phase finale'!T52&gt;'Phase finale'!T53,'Phase finale'!R53,IF('Phase finale'!T53&gt;'Phase finale'!T52,'Phase finale'!R52,"")),""))),"")</f>
        <v/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63</vt:i4>
      </vt:variant>
    </vt:vector>
  </HeadingPairs>
  <TitlesOfParts>
    <vt:vector size="68" baseType="lpstr">
      <vt:lpstr>Matchs</vt:lpstr>
      <vt:lpstr>Classement par poule</vt:lpstr>
      <vt:lpstr>Phase finale</vt:lpstr>
      <vt:lpstr>Aux</vt:lpstr>
      <vt:lpstr>Calc</vt:lpstr>
      <vt:lpstr>gA_bp</vt:lpstr>
      <vt:lpstr>gA_clt</vt:lpstr>
      <vt:lpstr>gA_db</vt:lpstr>
      <vt:lpstr>gA_names</vt:lpstr>
      <vt:lpstr>gA_pts</vt:lpstr>
      <vt:lpstr>gB_bp</vt:lpstr>
      <vt:lpstr>gB_clt</vt:lpstr>
      <vt:lpstr>gB_db</vt:lpstr>
      <vt:lpstr>gB_names</vt:lpstr>
      <vt:lpstr>gB_pts</vt:lpstr>
      <vt:lpstr>gC_bp</vt:lpstr>
      <vt:lpstr>gC_clt</vt:lpstr>
      <vt:lpstr>gC_db</vt:lpstr>
      <vt:lpstr>gC_names</vt:lpstr>
      <vt:lpstr>gC_pts</vt:lpstr>
      <vt:lpstr>gD_bp</vt:lpstr>
      <vt:lpstr>gD_clt</vt:lpstr>
      <vt:lpstr>gD_db</vt:lpstr>
      <vt:lpstr>gD_names</vt:lpstr>
      <vt:lpstr>gD_pts</vt:lpstr>
      <vt:lpstr>gE_bp</vt:lpstr>
      <vt:lpstr>gE_clt</vt:lpstr>
      <vt:lpstr>gE_db</vt:lpstr>
      <vt:lpstr>gE_names</vt:lpstr>
      <vt:lpstr>gE_pts</vt:lpstr>
      <vt:lpstr>gF_bp</vt:lpstr>
      <vt:lpstr>gF_clt</vt:lpstr>
      <vt:lpstr>gF_db</vt:lpstr>
      <vt:lpstr>gF_names</vt:lpstr>
      <vt:lpstr>gF_pts</vt:lpstr>
      <vt:lpstr>gG_bp</vt:lpstr>
      <vt:lpstr>gG_clt</vt:lpstr>
      <vt:lpstr>gG_db</vt:lpstr>
      <vt:lpstr>gG_names</vt:lpstr>
      <vt:lpstr>gG_pts</vt:lpstr>
      <vt:lpstr>gH_bp</vt:lpstr>
      <vt:lpstr>gH_clt</vt:lpstr>
      <vt:lpstr>gH_db</vt:lpstr>
      <vt:lpstr>gH_names</vt:lpstr>
      <vt:lpstr>gH_pts</vt:lpstr>
      <vt:lpstr>gI_bp</vt:lpstr>
      <vt:lpstr>gI_clt</vt:lpstr>
      <vt:lpstr>gI_db</vt:lpstr>
      <vt:lpstr>gI_names</vt:lpstr>
      <vt:lpstr>gI_pts</vt:lpstr>
      <vt:lpstr>gJ_bp</vt:lpstr>
      <vt:lpstr>gJ_clt</vt:lpstr>
      <vt:lpstr>gJ_db</vt:lpstr>
      <vt:lpstr>gJ_names</vt:lpstr>
      <vt:lpstr>gJ_pts</vt:lpstr>
      <vt:lpstr>gK_bp</vt:lpstr>
      <vt:lpstr>gK_clt</vt:lpstr>
      <vt:lpstr>gK_db</vt:lpstr>
      <vt:lpstr>gK_names</vt:lpstr>
      <vt:lpstr>gK_pts</vt:lpstr>
      <vt:lpstr>gL_bp</vt:lpstr>
      <vt:lpstr>gL_clt</vt:lpstr>
      <vt:lpstr>gL_db</vt:lpstr>
      <vt:lpstr>gL_names</vt:lpstr>
      <vt:lpstr>gL_pts</vt:lpstr>
      <vt:lpstr>third_letters</vt:lpstr>
      <vt:lpstr>third_rank</vt:lpstr>
      <vt:lpstr>third_teams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Dimby Rakotomalala - ExcellersAcademy.com</cp:lastModifiedBy>
  <cp:revision>0</cp:revision>
  <dcterms:created xsi:type="dcterms:W3CDTF">2026-05-27T12:06:06Z</dcterms:created>
  <dcterms:modified xsi:type="dcterms:W3CDTF">2026-06-11T08:34:18Z</dcterms:modified>
  <dc:language>en-US</dc:language>
</cp:coreProperties>
</file>